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0" windowWidth="22920" windowHeight="16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<sst xmlns="http://schemas.openxmlformats.org/spreadsheetml/2006/main" count="1184" uniqueCount="641">
  <si>
    <t>SystP 53:147</t>
  </si>
  <si>
    <t>Drepanocephalus spathans</t>
  </si>
  <si>
    <t>Paryphostomum segregatum</t>
  </si>
  <si>
    <t>SystP 53:199</t>
  </si>
  <si>
    <t>Perezitrema bychowskyi</t>
  </si>
  <si>
    <t>Scorpidotrema longistipes</t>
  </si>
  <si>
    <t>SystP 54: 97</t>
  </si>
  <si>
    <t>SystP 54: 131</t>
  </si>
  <si>
    <t>Tergestia acanthocephala</t>
  </si>
  <si>
    <t>Carneophallus turgidus</t>
  </si>
  <si>
    <t>Microphallidae</t>
  </si>
  <si>
    <t>JP 44:100</t>
  </si>
  <si>
    <t>Gynaecotyla riggini</t>
  </si>
  <si>
    <t>JP 44:110</t>
  </si>
  <si>
    <t>Levinseniella minuta</t>
  </si>
  <si>
    <t>JP 44:225</t>
  </si>
  <si>
    <t>Odhneria limnodromi</t>
  </si>
  <si>
    <t>Allassostomoides chelydrae</t>
  </si>
  <si>
    <t>JP 61:882</t>
  </si>
  <si>
    <t>Corrigia obscura</t>
  </si>
  <si>
    <t>JP 62:59</t>
  </si>
  <si>
    <t>Creptotrema lynchi</t>
  </si>
  <si>
    <t>JP 62:429</t>
  </si>
  <si>
    <t>Glypthelmins robustus</t>
  </si>
  <si>
    <t>Alloglossidium turnbulli</t>
  </si>
  <si>
    <t>JP 62:556</t>
  </si>
  <si>
    <t>Alloglossidium hamrumi</t>
  </si>
  <si>
    <t>SystP 61:215</t>
  </si>
  <si>
    <t>SystP 62:47</t>
  </si>
  <si>
    <t>Rhipidocotyle capitata</t>
  </si>
  <si>
    <t>Rhipidocotyle longicirrus</t>
  </si>
  <si>
    <t>SystP 62:135</t>
  </si>
  <si>
    <t>Bucephalus gorgon</t>
  </si>
  <si>
    <t>Prosorhynchoides arcuatus</t>
  </si>
  <si>
    <t>SystP 37:139</t>
  </si>
  <si>
    <t>Microphallus forresteri</t>
  </si>
  <si>
    <t>Paramaritremopsis solielangi</t>
  </si>
  <si>
    <t>SystP 47:127</t>
  </si>
  <si>
    <t>Microphallus kinsellai</t>
  </si>
  <si>
    <t>Levinseniella propinqua</t>
  </si>
  <si>
    <t>SystP 57:111</t>
  </si>
  <si>
    <t>SystP 63:119</t>
  </si>
  <si>
    <t>Megalophallus deblocki</t>
  </si>
  <si>
    <t>Megalophallus pentadactylus</t>
  </si>
  <si>
    <t>Megalophallus diodontis</t>
  </si>
  <si>
    <t>Megalophallus carcini</t>
  </si>
  <si>
    <t>Megalophallus miyazakii</t>
  </si>
  <si>
    <t>Megalophallus reamesi</t>
  </si>
  <si>
    <t>Rhipidocotyle minima</t>
  </si>
  <si>
    <t>Rhipidocotyle nicolli</t>
  </si>
  <si>
    <t>Rhipidocotyle triglae</t>
  </si>
  <si>
    <t>Rhipidocotyle viperae</t>
  </si>
  <si>
    <t>SystP 65:251</t>
  </si>
  <si>
    <t>Dinosoma lophiomi</t>
  </si>
  <si>
    <t>SystP 66:137</t>
  </si>
  <si>
    <t>Lepocreadium album</t>
  </si>
  <si>
    <t>Steringotrema pagelli</t>
  </si>
  <si>
    <t>SystP 66:207</t>
  </si>
  <si>
    <t>Lomasoma triglae</t>
  </si>
  <si>
    <t>Lomasoma wardi</t>
  </si>
  <si>
    <t>Lomasoma monolenei</t>
  </si>
  <si>
    <t>Lomasoma gracile</t>
  </si>
  <si>
    <t>SystP 67:25</t>
  </si>
  <si>
    <t>Opecoelus woolcockae</t>
  </si>
  <si>
    <t>Opecoelus pomatomi</t>
  </si>
  <si>
    <t>Opecoelus crowcrofti</t>
  </si>
  <si>
    <t>Opecoelus queenslandicus</t>
  </si>
  <si>
    <t>Macrourimegatrema gadoma</t>
  </si>
  <si>
    <t>SystP 67:93</t>
  </si>
  <si>
    <t>Macrourimegatrema brayi</t>
  </si>
  <si>
    <t>Lecithochirium grandiporum</t>
  </si>
  <si>
    <t>SystP 68:183</t>
  </si>
  <si>
    <t>SystP 68:217</t>
  </si>
  <si>
    <t>Petasiger islandicus</t>
  </si>
  <si>
    <t>Petasiger pseudoneocomense</t>
  </si>
  <si>
    <t>Buticulotrema stenauchenus</t>
  </si>
  <si>
    <t>JP 79:674</t>
  </si>
  <si>
    <t>Echinobreviceca coelorhynchae</t>
  </si>
  <si>
    <t>JP 80:309</t>
  </si>
  <si>
    <t>Creptotrema agonostomi</t>
  </si>
  <si>
    <t>JP 84:431</t>
  </si>
  <si>
    <t>Campechetrema herrerai</t>
  </si>
  <si>
    <t>JP 83:137</t>
  </si>
  <si>
    <t>Ascocotyle ascocotyle nunezae</t>
  </si>
  <si>
    <t>JP 83:141</t>
  </si>
  <si>
    <t>Himasthla limnodromi</t>
  </si>
  <si>
    <t>JP 83:1124</t>
  </si>
  <si>
    <t>Crepidostomum percopsisi</t>
  </si>
  <si>
    <t>JP 83:1157</t>
  </si>
  <si>
    <t>Allopodocotyle chiliticorum</t>
  </si>
  <si>
    <t>JP 85:891</t>
  </si>
  <si>
    <t>Cicesetrema unami</t>
  </si>
  <si>
    <t>JP 85:1160</t>
  </si>
  <si>
    <t>Halipegus eschi</t>
  </si>
  <si>
    <t>JP 86:1114</t>
  </si>
  <si>
    <t>SystP 51:227</t>
  </si>
  <si>
    <t>Villarrealina peruanus</t>
  </si>
  <si>
    <t>Jerguillicola leonora</t>
  </si>
  <si>
    <t>Neolebouria georgenascimentoi</t>
  </si>
  <si>
    <t>Aptorchis aequalis</t>
  </si>
  <si>
    <t>SystP 52:183</t>
  </si>
  <si>
    <t>Synaptobothrioides sardinella</t>
  </si>
  <si>
    <t>SystP 52:227</t>
  </si>
  <si>
    <t>SystP 52:205</t>
  </si>
  <si>
    <t>Isthmiophora melis</t>
  </si>
  <si>
    <t>Isthmiophora hortensis</t>
  </si>
  <si>
    <t>Allobacciger macrorchis</t>
  </si>
  <si>
    <t>Bacciger sardinellae</t>
  </si>
  <si>
    <t>Bacciger cochinensis</t>
  </si>
  <si>
    <t>Odontotrema arabi</t>
  </si>
  <si>
    <t>Paradiscogaster farooqii</t>
  </si>
  <si>
    <t>Apocreadium manteri</t>
  </si>
  <si>
    <t>JP 56:1055</t>
  </si>
  <si>
    <t>Margotrema guillerminae</t>
  </si>
  <si>
    <t>JP 87:1112</t>
  </si>
  <si>
    <t>Haematoloechus meridionalis</t>
  </si>
  <si>
    <t>Tergestia laticollis</t>
  </si>
  <si>
    <t>SystP 54:153</t>
  </si>
  <si>
    <t>Allopodocotyle skoliorchis</t>
  </si>
  <si>
    <t>SystP 55:1</t>
  </si>
  <si>
    <t>Neomultitestis aspidogastriformis</t>
  </si>
  <si>
    <t>Numeniotrema kinsellai</t>
  </si>
  <si>
    <t>JP 70:355</t>
  </si>
  <si>
    <t>Levinseniella yucatanensis</t>
  </si>
  <si>
    <t>JP 75:669</t>
  </si>
  <si>
    <t>Maritrema bonaerensis</t>
  </si>
  <si>
    <t>JP 83:709</t>
  </si>
  <si>
    <t>Maritrema neomi</t>
  </si>
  <si>
    <t>JP 84:846</t>
  </si>
  <si>
    <t>Maritrema novaezealandensis</t>
  </si>
  <si>
    <t>JP 90:272</t>
  </si>
  <si>
    <t>SystP 37:13</t>
  </si>
  <si>
    <t>Rhyncostophallus insularegii</t>
  </si>
  <si>
    <t>Microphallus pearsoni</t>
  </si>
  <si>
    <t>SystP 37:67</t>
  </si>
  <si>
    <t>Testiculoporus cedarkeyensis</t>
  </si>
  <si>
    <t>Endocotyle bushi</t>
  </si>
  <si>
    <t>Pycnadenoides reversati</t>
  </si>
  <si>
    <t>Pycnadenoides invenustus</t>
  </si>
  <si>
    <t>SystP 56:63</t>
  </si>
  <si>
    <t>Dactylostomum nicolli</t>
  </si>
  <si>
    <t>Parallopharynx arctus</t>
  </si>
  <si>
    <t>JP 47: 913</t>
  </si>
  <si>
    <t>Metadena apharei</t>
  </si>
  <si>
    <t>JP 47:914</t>
  </si>
  <si>
    <t>Pseudoillacanthochasmus grandispinus</t>
  </si>
  <si>
    <t>Neochasmus microvatus</t>
  </si>
  <si>
    <t>Paracryptogonimus acanthostomus</t>
  </si>
  <si>
    <t>Lecithaster leiostomi</t>
  </si>
  <si>
    <t>Zonorchis komareki</t>
  </si>
  <si>
    <t>JP 57:865</t>
  </si>
  <si>
    <t>Galactosomum timondavidi</t>
  </si>
  <si>
    <t>JP 57:1227</t>
  </si>
  <si>
    <t>Preptetos chaetodoni</t>
  </si>
  <si>
    <t>JP 58:217</t>
  </si>
  <si>
    <t>Opechona waltairensis</t>
  </si>
  <si>
    <t>Lobatocreadium manteri</t>
  </si>
  <si>
    <t xml:space="preserve">Multitestis bengalensis </t>
  </si>
  <si>
    <t>Opisthogonoporoides hanumanthai</t>
  </si>
  <si>
    <t>Pseudocreadium indicum</t>
  </si>
  <si>
    <t>Lyperosomum intermedium</t>
  </si>
  <si>
    <t>SystP 56:147</t>
  </si>
  <si>
    <t>Folliculovarium mediterraneum</t>
  </si>
  <si>
    <t>SystP 58:175</t>
  </si>
  <si>
    <t>Aphanurus stossichii</t>
  </si>
  <si>
    <t>SystP 58:189</t>
  </si>
  <si>
    <t>Cephalolepidapedon saba</t>
  </si>
  <si>
    <t>SystP 58:217</t>
  </si>
  <si>
    <t>Allocreadium pichi</t>
  </si>
  <si>
    <t>SystP 59:199</t>
  </si>
  <si>
    <t>Glypthelmins brownorumae</t>
  </si>
  <si>
    <t>Glypthelmins tuxtlasensis</t>
  </si>
  <si>
    <t>SystP 60:33</t>
  </si>
  <si>
    <t>Prosorhynchoides apogonis</t>
  </si>
  <si>
    <t>SystP 60:197</t>
  </si>
  <si>
    <t>Hemiurus lignator</t>
  </si>
  <si>
    <t>Parahemiurus xylokopos</t>
  </si>
  <si>
    <t>SystP 61:93</t>
  </si>
  <si>
    <t>Grammatorcynicola brayi</t>
  </si>
  <si>
    <t>Grammatorcynicola nolani</t>
  </si>
  <si>
    <t>Siphodera aegyptensis</t>
  </si>
  <si>
    <t>JP 92:578</t>
  </si>
  <si>
    <t>Brachylecithum glareoli</t>
  </si>
  <si>
    <t>JP 93:151</t>
  </si>
  <si>
    <t>Aptorchis megacetabulus</t>
  </si>
  <si>
    <t>JP 93:404</t>
  </si>
  <si>
    <t>Malawitrema staufferi</t>
  </si>
  <si>
    <t>JP 93:860</t>
  </si>
  <si>
    <t>Haplometroides intercaecalis</t>
  </si>
  <si>
    <t>JP 93:917</t>
  </si>
  <si>
    <t>JP 61:868</t>
  </si>
  <si>
    <t>Paramacroderoides pseudoechinus</t>
  </si>
  <si>
    <t>JP 61:873</t>
  </si>
  <si>
    <t>JP 51:777</t>
  </si>
  <si>
    <t>Erilepturus formosae</t>
  </si>
  <si>
    <t>JP 52:39</t>
  </si>
  <si>
    <t>Lecithocladium bulbolsbrum</t>
  </si>
  <si>
    <t>Conspicuum orientale</t>
  </si>
  <si>
    <t>JP 52: 335</t>
  </si>
  <si>
    <t>Lutztrema obliquum</t>
  </si>
  <si>
    <t>JP 52:335</t>
  </si>
  <si>
    <t>Lutztrema spinosum</t>
  </si>
  <si>
    <t>Athesmia heterolecithodes</t>
  </si>
  <si>
    <t>Lutztrema sinense</t>
  </si>
  <si>
    <t>Hirudicolotrema richardsoni</t>
  </si>
  <si>
    <t>JP 62:899</t>
  </si>
  <si>
    <t>Glomericirrus ulmeri</t>
  </si>
  <si>
    <t>JP 63:285</t>
  </si>
  <si>
    <t>Gonocerca minuta</t>
  </si>
  <si>
    <t>Gonocerca phycidis</t>
  </si>
  <si>
    <t>Prosorhynchoides tergestinum</t>
  </si>
  <si>
    <t>SystP 62:199</t>
  </si>
  <si>
    <t>Neohypocreadium aegyptense</t>
  </si>
  <si>
    <t>Fairfaxia cribbi</t>
  </si>
  <si>
    <t>Macvicaria chrysophrys</t>
  </si>
  <si>
    <t>SystP 63:17</t>
  </si>
  <si>
    <t>Helicometra sprenti</t>
  </si>
  <si>
    <t>Helicometra fasciata</t>
  </si>
  <si>
    <t>SystP 63:203</t>
  </si>
  <si>
    <t>Prosorhynchoides gracilescens</t>
  </si>
  <si>
    <t>Prosorhynchoides borealis</t>
  </si>
  <si>
    <t>Saturnius minutus</t>
  </si>
  <si>
    <t>Saturnius dimitrovi</t>
  </si>
  <si>
    <t>SystP 65:77</t>
  </si>
  <si>
    <t>SystP 65:129</t>
  </si>
  <si>
    <t>Austroholorchis sprenti</t>
  </si>
  <si>
    <t>Austroholorchis levis</t>
  </si>
  <si>
    <t>SystP 36:143</t>
  </si>
  <si>
    <t>JP 79:353</t>
  </si>
  <si>
    <t>JP91: 1395</t>
  </si>
  <si>
    <t>Plagiorchiidae</t>
  </si>
  <si>
    <t>Allopharynx daileyi</t>
  </si>
  <si>
    <t>Caballerolecythus ibunami</t>
  </si>
  <si>
    <t>Dicrocoeliinae</t>
  </si>
  <si>
    <t>JP91: 1410</t>
  </si>
  <si>
    <t>JP91: 1465</t>
  </si>
  <si>
    <t>Petasiger combesi</t>
  </si>
  <si>
    <t>Echinostomatidae</t>
  </si>
  <si>
    <t>Gigantocotyle explanatum</t>
  </si>
  <si>
    <t>Paramphistomidae</t>
  </si>
  <si>
    <t>JP 44:210</t>
  </si>
  <si>
    <t>Proechinocephalus tarai</t>
  </si>
  <si>
    <t>Stellantchasmus falcatus</t>
  </si>
  <si>
    <t>Heterophyidae</t>
  </si>
  <si>
    <t>JP 44:305</t>
  </si>
  <si>
    <t>Haplorchis taichui</t>
  </si>
  <si>
    <t>Haplorchis yokogawai</t>
  </si>
  <si>
    <t>Macroderoides spiniferus</t>
  </si>
  <si>
    <t>Macroderoididae</t>
  </si>
  <si>
    <t>JP 44:379</t>
  </si>
  <si>
    <t>JP 44:236</t>
  </si>
  <si>
    <t>Bucephaloides bennetti</t>
  </si>
  <si>
    <t>Bucephalidae</t>
  </si>
  <si>
    <t>JP 44:409</t>
  </si>
  <si>
    <t>Crepidostomum opeongoensis</t>
  </si>
  <si>
    <t>JP 86:1305</t>
  </si>
  <si>
    <t>Glypthelmins poncedeleoni</t>
  </si>
  <si>
    <t>JP 87:686</t>
  </si>
  <si>
    <t>JP 54: 761</t>
  </si>
  <si>
    <t>Siphodera ghanensis</t>
  </si>
  <si>
    <t>JP 54:765</t>
  </si>
  <si>
    <t>Pneumatophilus variabilis</t>
  </si>
  <si>
    <t>JP 54:767</t>
  </si>
  <si>
    <t>Dinosoma oregonensis</t>
  </si>
  <si>
    <t>JP 54:931</t>
  </si>
  <si>
    <t>Dinosoma pectoralis</t>
  </si>
  <si>
    <t>Maxbraunium nigeriense</t>
  </si>
  <si>
    <t>JP 54:935</t>
  </si>
  <si>
    <t>Prosthodendrium ovulum</t>
  </si>
  <si>
    <t>Paracryptogonimus provitellosus</t>
  </si>
  <si>
    <t>JP 55:293</t>
  </si>
  <si>
    <t>Paracryptogonimus longitestis</t>
  </si>
  <si>
    <t>Paracryptogonimus catalae</t>
  </si>
  <si>
    <t>Paracryptogonimus testitactus</t>
  </si>
  <si>
    <t>Alloglossidium hirudicola</t>
  </si>
  <si>
    <t>JP 55: 1185</t>
  </si>
  <si>
    <t>Echeneidocoelium indicum</t>
  </si>
  <si>
    <t>JP 56:317</t>
  </si>
  <si>
    <t>Langeronia parva</t>
  </si>
  <si>
    <t>JP 56:321</t>
  </si>
  <si>
    <t>Longicollia canaanensis</t>
  </si>
  <si>
    <t>JP 56:490</t>
  </si>
  <si>
    <t>Faustula basiri</t>
  </si>
  <si>
    <t>JP 56:932</t>
  </si>
  <si>
    <t>Jonesiella pomacanthi</t>
  </si>
  <si>
    <t>Orthodena tropica</t>
  </si>
  <si>
    <t>Pseudoplagioporus interruptus</t>
  </si>
  <si>
    <t>Pacificreadium serrani</t>
  </si>
  <si>
    <t>Holorchis plectorhynchi</t>
  </si>
  <si>
    <t>Neolepidapedon dollfusi</t>
  </si>
  <si>
    <t>Intusatrium robustum</t>
  </si>
  <si>
    <t>Intusatrium secundum</t>
  </si>
  <si>
    <t>Plagioporus maorum</t>
  </si>
  <si>
    <t>JP 54:757</t>
  </si>
  <si>
    <t>Metoliophilus uvaticus</t>
  </si>
  <si>
    <t>JP 87:1423</t>
  </si>
  <si>
    <t>Astyanax aeneus</t>
  </si>
  <si>
    <t>JP 88: 107</t>
  </si>
  <si>
    <t>Bucephalus anguillae</t>
  </si>
  <si>
    <t>JP 88:382</t>
  </si>
  <si>
    <t>Haematoloechus danbrooksi</t>
  </si>
  <si>
    <t>Multitestis magnacetabulum</t>
  </si>
  <si>
    <t>Diploproctodaeum rutellum</t>
  </si>
  <si>
    <t>Diploproctodaeum tsubameuo</t>
  </si>
  <si>
    <t>SystP 55:61</t>
  </si>
  <si>
    <t>Dactylomyza gibsoni</t>
  </si>
  <si>
    <t>SystP 55:67</t>
  </si>
  <si>
    <t>Bartoliella pritchardae</t>
  </si>
  <si>
    <t>SystP 55:81</t>
  </si>
  <si>
    <t>Podocotyle novella</t>
  </si>
  <si>
    <t>Podocotyle temensis</t>
  </si>
  <si>
    <t>Pseudopecoeloides chloroscombri</t>
  </si>
  <si>
    <t>SystP 55:127</t>
  </si>
  <si>
    <t>Podocotyloides victori</t>
  </si>
  <si>
    <t>SystP 55:221</t>
  </si>
  <si>
    <t>Pycnadenoides pagrosomi</t>
  </si>
  <si>
    <t>JP 90:1128</t>
  </si>
  <si>
    <t>Karyakartia egyptensis</t>
  </si>
  <si>
    <t>JP 92:73</t>
  </si>
  <si>
    <t>Neohaematotrephus fischtha</t>
  </si>
  <si>
    <t>JP 47:777</t>
  </si>
  <si>
    <t>Acanthoparyphium spinulosum</t>
  </si>
  <si>
    <t>JP 44:639</t>
  </si>
  <si>
    <t>Phaneropsolus oviforme</t>
  </si>
  <si>
    <t>Bucephalus fragilis</t>
  </si>
  <si>
    <t>JP 45:135</t>
  </si>
  <si>
    <t>Bucephalus leognathi</t>
  </si>
  <si>
    <t>Bucephalus psudovaricus</t>
  </si>
  <si>
    <t>Bucephalus paraheterotentaculatus</t>
  </si>
  <si>
    <t>Prosorhynchus paracrucibulus</t>
  </si>
  <si>
    <t>Prosorhynchus luzonicus</t>
  </si>
  <si>
    <t>Rhipidocotyle laryei</t>
  </si>
  <si>
    <t>Bucephaloides phillippinorum</t>
  </si>
  <si>
    <t>Alcicornis cirrudiscoides</t>
  </si>
  <si>
    <t>Neidhartia mcintoshi</t>
  </si>
  <si>
    <t>Cleptodiscus kyphosi</t>
  </si>
  <si>
    <t>JP 45:148</t>
  </si>
  <si>
    <t>Mosesia chordeilesia</t>
  </si>
  <si>
    <t>JP 45:327</t>
  </si>
  <si>
    <t>Diploproctodaeum vitellosum</t>
  </si>
  <si>
    <t>Lepocreadiidae</t>
  </si>
  <si>
    <t>JP 58:226</t>
  </si>
  <si>
    <t>Orthetrotrema monostomum</t>
  </si>
  <si>
    <t>JP 58:515</t>
  </si>
  <si>
    <t>Brachylecithum myadestis</t>
  </si>
  <si>
    <t>JP 58:519</t>
  </si>
  <si>
    <t>Acanthatrium umbraculatum</t>
  </si>
  <si>
    <t>JP 58:710</t>
  </si>
  <si>
    <t>Protomonascus nybelini</t>
  </si>
  <si>
    <t>JP 59:648</t>
  </si>
  <si>
    <t>Hypertrema ambouatum</t>
  </si>
  <si>
    <t>JP 60:80</t>
  </si>
  <si>
    <t xml:space="preserve">Helicometra robinsorum </t>
  </si>
  <si>
    <t>Pseudurorchis catostomi</t>
  </si>
  <si>
    <t>JP 60:243</t>
  </si>
  <si>
    <t>Nezpercella lewisi</t>
  </si>
  <si>
    <t>Multivitellina idahoensis</t>
  </si>
  <si>
    <t>Alloglossidium macrobdellensis</t>
  </si>
  <si>
    <t>JP 60:434</t>
  </si>
  <si>
    <t>JP 92:167</t>
  </si>
  <si>
    <t>Paracreptorema blancoi</t>
  </si>
  <si>
    <t>JP 92:565</t>
  </si>
  <si>
    <t>Curtuteria arguinae</t>
  </si>
  <si>
    <t>Allocreadiidae</t>
  </si>
  <si>
    <t>JP 50:652</t>
  </si>
  <si>
    <t>Parahalipegus aspina</t>
  </si>
  <si>
    <t>JP 50: 662</t>
  </si>
  <si>
    <t>Allopharynx leiperi</t>
  </si>
  <si>
    <t>JP 51:215</t>
  </si>
  <si>
    <t>Ascocotyle pachycystis</t>
  </si>
  <si>
    <t>JP 51:594</t>
  </si>
  <si>
    <t>Parallopharynx jonesi</t>
  </si>
  <si>
    <t>JP 51:773</t>
  </si>
  <si>
    <t>Barbulostomum cupuloris</t>
  </si>
  <si>
    <t>SystP 49:195</t>
  </si>
  <si>
    <t>Singhia thapari</t>
  </si>
  <si>
    <t>Caballerotrema brasiliense</t>
  </si>
  <si>
    <t>Amphicreadium denspeniculus</t>
  </si>
  <si>
    <t>SystP 49:205</t>
  </si>
  <si>
    <t>Metadena phoceae</t>
  </si>
  <si>
    <t>SystP 50:53</t>
  </si>
  <si>
    <t>Uroproctepisthmium bursicola</t>
  </si>
  <si>
    <t>SystP 50:63</t>
  </si>
  <si>
    <t>Astiotrema impletum</t>
  </si>
  <si>
    <t>JP 49:91</t>
  </si>
  <si>
    <t>Zonorchis petiolatus</t>
  </si>
  <si>
    <t>Zonorchis macrorchis</t>
  </si>
  <si>
    <t>Zonorchis multivitellatus</t>
  </si>
  <si>
    <t>Lyperosomum turdi</t>
  </si>
  <si>
    <t>Brachylecithum mosquensis</t>
  </si>
  <si>
    <t>Gonocerca haedrichi</t>
  </si>
  <si>
    <t>Pseudolecithaster antimorae</t>
  </si>
  <si>
    <t>Dinosoma sulca</t>
  </si>
  <si>
    <t>Dinosoma triangulata</t>
  </si>
  <si>
    <t>Lecithophyllum anteroporum</t>
  </si>
  <si>
    <t>Lecithophyllum irelandeum</t>
  </si>
  <si>
    <t>JP 64:49</t>
  </si>
  <si>
    <t>Echinoparyphium speotyto</t>
  </si>
  <si>
    <t>JP64:52</t>
  </si>
  <si>
    <t>Ototrema schildti</t>
  </si>
  <si>
    <t>JP 64:391</t>
  </si>
  <si>
    <t>Macroderoides trilobatus</t>
  </si>
  <si>
    <t>JP 64: 393</t>
  </si>
  <si>
    <t>Paraneocreadium australiense</t>
  </si>
  <si>
    <t>SystP 36:47</t>
  </si>
  <si>
    <t>Aephnidiogenes major</t>
  </si>
  <si>
    <t>Retrobulla angelae</t>
  </si>
  <si>
    <t>JP 71:815</t>
  </si>
  <si>
    <t>Phaneropsolus spinicirrus</t>
  </si>
  <si>
    <t>JP 77:514</t>
  </si>
  <si>
    <t>Alloglossoides dolandi</t>
  </si>
  <si>
    <t>Cryptogonimidae</t>
  </si>
  <si>
    <t>Lobosorchis tibaldiae</t>
  </si>
  <si>
    <t>JP91: 922</t>
  </si>
  <si>
    <t>Postlepidapedon spissum</t>
  </si>
  <si>
    <t>Postlepidapedon uberis</t>
  </si>
  <si>
    <t>Gibsonivermis berryi</t>
  </si>
  <si>
    <t>SystP 36:161</t>
  </si>
  <si>
    <t>Ascocotyle tenuicollis</t>
  </si>
  <si>
    <t>Ascocotyle nana</t>
  </si>
  <si>
    <t>Ascocotyle diminuta</t>
  </si>
  <si>
    <t>Ascocotyle megalocephala</t>
  </si>
  <si>
    <t>Paralepidapedon ostorhinchi</t>
  </si>
  <si>
    <t>SystP 36:229</t>
  </si>
  <si>
    <t>SystP 37:27</t>
  </si>
  <si>
    <t>Cliveus peroni</t>
  </si>
  <si>
    <t>Cliveus acaenadera</t>
  </si>
  <si>
    <t>Jericho chojeri</t>
  </si>
  <si>
    <t>Rugocavum nemadactyl</t>
  </si>
  <si>
    <t>Rugocavum morwong</t>
  </si>
  <si>
    <t>Euparyphium albuferensis</t>
  </si>
  <si>
    <t>SystP 38:211</t>
  </si>
  <si>
    <t>Petasiger oschmarini</t>
  </si>
  <si>
    <t>Phagicola inglei</t>
  </si>
  <si>
    <t>JP 44:627</t>
  </si>
  <si>
    <t>Primatotrema macacae</t>
  </si>
  <si>
    <t>Lecithodendriidae</t>
  </si>
  <si>
    <t>Gorgocephalus kyphosi</t>
  </si>
  <si>
    <t>JP 52:347</t>
  </si>
  <si>
    <t>Paralecithodendrium carlsbadensis</t>
  </si>
  <si>
    <t>JP 52:351</t>
  </si>
  <si>
    <t>Himasthla littorinae</t>
  </si>
  <si>
    <t>JP 52:367</t>
  </si>
  <si>
    <t>Caudouterina rhyacotritoni</t>
  </si>
  <si>
    <t>JP 52:935</t>
  </si>
  <si>
    <t>Bancroftrema neoceratodi</t>
  </si>
  <si>
    <t>JP 52:1058</t>
  </si>
  <si>
    <t>Prosthopycoides lynchi</t>
  </si>
  <si>
    <t>JP 52:1066</t>
  </si>
  <si>
    <t>Multigonotylus micropteri</t>
  </si>
  <si>
    <t>JP 53:743</t>
  </si>
  <si>
    <t>Siphoderina paracatalae</t>
  </si>
  <si>
    <t>Glypthelmins hyloreus</t>
  </si>
  <si>
    <t>JP 55:747</t>
  </si>
  <si>
    <t>Lepidapedon lutuem abyssensis</t>
  </si>
  <si>
    <t>JP 54:496</t>
  </si>
  <si>
    <t>Lepidapedon antimorae</t>
  </si>
  <si>
    <t>Lepidapedon yaquina</t>
  </si>
  <si>
    <t>Lepidapedon cascadensis</t>
  </si>
  <si>
    <t>Lepidapedon oregonensis</t>
  </si>
  <si>
    <t>Lepidapedon filiformis</t>
  </si>
  <si>
    <t>Choanostoma secundum</t>
  </si>
  <si>
    <t>JP 54:747</t>
  </si>
  <si>
    <t>Lepocreadium oyabitcha</t>
  </si>
  <si>
    <t>Opechona austrobacillaris</t>
  </si>
  <si>
    <t>Clavogalea trachinoti</t>
  </si>
  <si>
    <t>Lepotrema monile</t>
  </si>
  <si>
    <t>Myzoxenus insolens</t>
  </si>
  <si>
    <t>Bulbocirrus aulostomi</t>
  </si>
  <si>
    <t>Lepocreadioides orientalis</t>
  </si>
  <si>
    <t>Caecincola wakullata</t>
  </si>
  <si>
    <t>Macyella idahoensis</t>
  </si>
  <si>
    <t>JP 53:1000</t>
  </si>
  <si>
    <t>JP 46: 337</t>
  </si>
  <si>
    <t>Aporchis continuus</t>
  </si>
  <si>
    <t>JP 46: 642</t>
  </si>
  <si>
    <t>Dolichoenterum microtylum</t>
  </si>
  <si>
    <t>JP 46:651</t>
  </si>
  <si>
    <t>Helicometra dochmosorchis</t>
  </si>
  <si>
    <t>JP 88:1215</t>
  </si>
  <si>
    <t>Acanthotrema felis</t>
  </si>
  <si>
    <t>JP 89:154</t>
  </si>
  <si>
    <t>Acanthostomum macroclemidis</t>
  </si>
  <si>
    <t>JP 89:159</t>
  </si>
  <si>
    <t>Echinostoma luisreyi</t>
  </si>
  <si>
    <t>JP 89:800</t>
  </si>
  <si>
    <t>Whallwachsia illuminata</t>
  </si>
  <si>
    <t>JP 89:814</t>
  </si>
  <si>
    <t>Neohaematotrephus arayae</t>
  </si>
  <si>
    <t>JP89:829</t>
  </si>
  <si>
    <t>Himasthla escamosa</t>
  </si>
  <si>
    <t>JP90:308</t>
  </si>
  <si>
    <t>Parallopharynx matternae</t>
  </si>
  <si>
    <t>JP 90:359</t>
  </si>
  <si>
    <t>Brachylecithum mackoi</t>
  </si>
  <si>
    <t>JP 90:793</t>
  </si>
  <si>
    <t>Auriculostoma astyanace</t>
  </si>
  <si>
    <t>JP 47:501</t>
  </si>
  <si>
    <t>Plagiorchis goodmani</t>
  </si>
  <si>
    <t>JP 47:625</t>
  </si>
  <si>
    <t>Hypocreadium patellare</t>
  </si>
  <si>
    <t>Pseudopisthogonoporus vitellosus</t>
  </si>
  <si>
    <t>Bianium spongiosum</t>
  </si>
  <si>
    <t>Megenteron manteri</t>
  </si>
  <si>
    <t>Fellodistomidae</t>
  </si>
  <si>
    <t>SystP 44:153</t>
  </si>
  <si>
    <t>Steringophorus sp.</t>
  </si>
  <si>
    <t>SystP 45:29</t>
  </si>
  <si>
    <t>Lepidapedon mexicanensis</t>
  </si>
  <si>
    <t>Lepidapedon nezumiatis</t>
  </si>
  <si>
    <t>Lepidapedon carribaei</t>
  </si>
  <si>
    <t>Lepidapedon longivesicula</t>
  </si>
  <si>
    <t>Lepidapedon desotoensis</t>
  </si>
  <si>
    <t>Lepidapedon zaniophori</t>
  </si>
  <si>
    <t>Echinostoma miyagawai</t>
  </si>
  <si>
    <t>SystP 45:81</t>
  </si>
  <si>
    <t>Acanthotrema armata</t>
  </si>
  <si>
    <t>SystP 45:131</t>
  </si>
  <si>
    <t>Echinostoma friedi</t>
  </si>
  <si>
    <t>SystP 45:199</t>
  </si>
  <si>
    <t>Boreascotia megavesicula</t>
  </si>
  <si>
    <t>SystP 46:29</t>
  </si>
  <si>
    <t>JP 45:337</t>
  </si>
  <si>
    <t>Homalometron armatum</t>
  </si>
  <si>
    <t>JP 45:539</t>
  </si>
  <si>
    <t>Megalodiscus microphagus</t>
  </si>
  <si>
    <t>JP 45:614</t>
  </si>
  <si>
    <t>Tubulovesicula lindbergi</t>
  </si>
  <si>
    <t>Hemiuridae</t>
  </si>
  <si>
    <t>JP 46:84</t>
  </si>
  <si>
    <t>Fellodistomum brevum</t>
  </si>
  <si>
    <t>JP 46:241</t>
  </si>
  <si>
    <t>Opechona parvasoma</t>
  </si>
  <si>
    <t>Lepidapedon microcotyleum</t>
  </si>
  <si>
    <t>JP 46: 241</t>
  </si>
  <si>
    <t>Podocotyle sinusacca</t>
  </si>
  <si>
    <t>Opecoelidae</t>
  </si>
  <si>
    <t>Plagiorchis vespertilionis parorchis</t>
  </si>
  <si>
    <t>Paracryptogonimus amanilensis</t>
  </si>
  <si>
    <t>Pseudometadena celebesensis</t>
  </si>
  <si>
    <t>Abyssotrema pritchardae</t>
  </si>
  <si>
    <t>JP 61:661</t>
  </si>
  <si>
    <t>Turgecaecum longifauces</t>
  </si>
  <si>
    <t>Diplobulbus brayi</t>
  </si>
  <si>
    <t>SystP 46:99</t>
  </si>
  <si>
    <t>Procerovum varium</t>
  </si>
  <si>
    <t>SystP 46:215</t>
  </si>
  <si>
    <t>Plagiorchis vespertilionis</t>
  </si>
  <si>
    <t>SystP 47:9</t>
  </si>
  <si>
    <t>Polylekithum percai</t>
  </si>
  <si>
    <t>SystP 47:51</t>
  </si>
  <si>
    <t>Neolebouria moretonensis</t>
  </si>
  <si>
    <t>SystP 49:65</t>
  </si>
  <si>
    <t>Neolebouria lineatus</t>
  </si>
  <si>
    <t>Helicometra quadrorchis</t>
  </si>
  <si>
    <t>Eurytrema procyonis</t>
  </si>
  <si>
    <t>Dicrocoeliidae</t>
  </si>
  <si>
    <t>JP 46:810</t>
  </si>
  <si>
    <t>Echinostoma nudicaudatum</t>
  </si>
  <si>
    <t>JP 46: 833</t>
  </si>
  <si>
    <t>Fellodistomum phrissovum</t>
  </si>
  <si>
    <t>JP 47: 77</t>
  </si>
  <si>
    <t>Bucephaloides paralichthydis</t>
  </si>
  <si>
    <t>JP 47: 231</t>
  </si>
  <si>
    <t>Hysterolecitha trilocalis</t>
  </si>
  <si>
    <t>JP 47: 465</t>
  </si>
  <si>
    <t>Dollfustrema bipapillosum</t>
  </si>
  <si>
    <t>JP 47:479</t>
  </si>
  <si>
    <t>Dollfustrema stromborhynchum</t>
  </si>
  <si>
    <t>Opisthioglyphe orientalis</t>
  </si>
  <si>
    <t>Brachylecithum emberizae</t>
  </si>
  <si>
    <t>Brachylecithum eophonae</t>
  </si>
  <si>
    <t>Brachylecithum halcyonis</t>
  </si>
  <si>
    <t>JP 64: 398</t>
  </si>
  <si>
    <t>Himasthla rhigedana</t>
  </si>
  <si>
    <t>JP 65:645</t>
  </si>
  <si>
    <t>Pelmatostomum americanum</t>
  </si>
  <si>
    <t>Parabascoides cephalolecithus</t>
  </si>
  <si>
    <t>JP 65:909</t>
  </si>
  <si>
    <t>Prosthodendrium megovsrium</t>
  </si>
  <si>
    <t>Acanthatrium fugleri</t>
  </si>
  <si>
    <t>Harveytrema bisulcatum</t>
  </si>
  <si>
    <t>JP 65:918</t>
  </si>
  <si>
    <t>Alloglossidium microspinatum</t>
  </si>
  <si>
    <t>JP 66:667</t>
  </si>
  <si>
    <t>Haplorchoides cahirinus</t>
  </si>
  <si>
    <t>Lepocreadium exiguum</t>
  </si>
  <si>
    <t>JP 49:99</t>
  </si>
  <si>
    <t>Multitestis pyriformis</t>
  </si>
  <si>
    <t>Guggenheimia thumi</t>
  </si>
  <si>
    <t>Lobatotrema aniferum</t>
  </si>
  <si>
    <t>Hamacreadium mutabile</t>
  </si>
  <si>
    <t>Plagioporus parvus</t>
  </si>
  <si>
    <t>Plagioporus longicirratus</t>
  </si>
  <si>
    <t>Opecoelus rhadinotus</t>
  </si>
  <si>
    <t>Podocotyle parupenei</t>
  </si>
  <si>
    <t>Podocotyle plectropomi</t>
  </si>
  <si>
    <t>Ascocotyle angrense</t>
  </si>
  <si>
    <t>JP 49:264</t>
  </si>
  <si>
    <t>Tergestia clonacantha</t>
  </si>
  <si>
    <t>JP 49:443</t>
  </si>
  <si>
    <t>Paracryptogonimus hirastrictus</t>
  </si>
  <si>
    <t>Paracryptogonimus saccatus</t>
  </si>
  <si>
    <t>Jp 49:443</t>
  </si>
  <si>
    <t>Mitotrema anthostomatum</t>
  </si>
  <si>
    <t>Orientocreadium batrachoides</t>
  </si>
  <si>
    <t>JP 49 :451</t>
  </si>
  <si>
    <t>Xenopharynx solus</t>
  </si>
  <si>
    <t>JP 49:468</t>
  </si>
  <si>
    <t>Opisthogonoporus vitellosus</t>
  </si>
  <si>
    <t>JP 49:578</t>
  </si>
  <si>
    <t>Paracryptogonimus manilensis</t>
  </si>
  <si>
    <t>JP 50:248</t>
  </si>
  <si>
    <t>Paracryptogonimus orientalis</t>
  </si>
  <si>
    <t>Propycnadenoides philippinensis</t>
  </si>
  <si>
    <t>Bucephaloides sibi</t>
  </si>
  <si>
    <t>JP 50:253</t>
  </si>
  <si>
    <t>Pelorohelmins palawanensis</t>
  </si>
  <si>
    <t>Bunoderella metteri</t>
  </si>
  <si>
    <t>Species</t>
  </si>
  <si>
    <t>Family</t>
  </si>
  <si>
    <t>Body length (mm)</t>
  </si>
  <si>
    <t>Body width (mm)</t>
  </si>
  <si>
    <t>Oral Sucker max. length (µm)</t>
  </si>
  <si>
    <t>Ventral Sucker max. length (µm)</t>
  </si>
  <si>
    <t>Pharynx length (µm)</t>
  </si>
  <si>
    <t>Cirrus sac length (µm)</t>
  </si>
  <si>
    <t># Collar spines</t>
  </si>
  <si>
    <t>Source</t>
  </si>
  <si>
    <t>Body area (mm2)</t>
  </si>
  <si>
    <t>SystP 39:49</t>
  </si>
  <si>
    <t>Sigmapera cincta</t>
  </si>
  <si>
    <t>SystP 39:223</t>
  </si>
  <si>
    <t>SystP 39:183</t>
  </si>
  <si>
    <t>Lepidapedoides pistoris</t>
  </si>
  <si>
    <t>Lepidapedoides elongatrium</t>
  </si>
  <si>
    <t>Diploproctodaeum arothroni</t>
  </si>
  <si>
    <t>SystP 40:55</t>
  </si>
  <si>
    <t>Prodistomum priedei</t>
  </si>
  <si>
    <t>SystP 41:77</t>
  </si>
  <si>
    <t>SystP 41:123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</si>
</sst>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workbookViewId="0" topLeftCell="A1">
      <pane ySplit="500" topLeftCell="BM1" activePane="bottomLeft" state="split"/>
      <selection pane="topLeft" activeCell="E1" sqref="E1"/>
      <selection pane="bottomLeft" activeCell="A2" sqref="A2"/>
    </sheetView>
  </sheetViews>
  <sheetFormatPr defaultColWidth="11.421875" defaultRowHeight="12.75"/>
  <cols>
    <col min="1" max="1" width="34.421875" style="0" bestFit="1" customWidth="1"/>
    <col min="2" max="2" width="17.00390625" style="0" bestFit="1" customWidth="1"/>
    <col min="3" max="3" width="17.28125" style="0" bestFit="1" customWidth="1"/>
    <col min="4" max="4" width="16.421875" style="0" bestFit="1" customWidth="1"/>
    <col min="5" max="5" width="16.421875" style="0" customWidth="1"/>
    <col min="6" max="6" width="28.140625" style="0" bestFit="1" customWidth="1"/>
    <col min="7" max="7" width="42.421875" style="0" bestFit="1" customWidth="1"/>
    <col min="8" max="8" width="19.421875" style="0" bestFit="1" customWidth="1"/>
    <col min="9" max="9" width="22.140625" style="0" bestFit="1" customWidth="1"/>
    <col min="10" max="10" width="14.421875" style="0" bestFit="1" customWidth="1"/>
    <col min="11" max="11" width="12.421875" style="0" customWidth="1"/>
    <col min="12" max="16384" width="8.8515625" style="0" customWidth="1"/>
  </cols>
  <sheetData>
    <row r="1" spans="1:11" s="1" customFormat="1" ht="12">
      <c r="A1" s="1" t="s">
        <v>619</v>
      </c>
      <c r="B1" s="1" t="s">
        <v>620</v>
      </c>
      <c r="C1" s="1" t="s">
        <v>621</v>
      </c>
      <c r="D1" s="1" t="s">
        <v>622</v>
      </c>
      <c r="E1" s="1" t="s">
        <v>629</v>
      </c>
      <c r="F1" s="1" t="s">
        <v>623</v>
      </c>
      <c r="G1" s="1" t="s">
        <v>624</v>
      </c>
      <c r="H1" s="1" t="s">
        <v>625</v>
      </c>
      <c r="I1" s="1" t="s">
        <v>626</v>
      </c>
      <c r="J1" s="1" t="s">
        <v>627</v>
      </c>
      <c r="K1" s="1" t="s">
        <v>628</v>
      </c>
    </row>
    <row r="2" spans="1:11" ht="12">
      <c r="A2" t="s">
        <v>168</v>
      </c>
      <c r="B2" t="s">
        <v>363</v>
      </c>
      <c r="C2">
        <v>1.339</v>
      </c>
      <c r="D2">
        <v>0.558</v>
      </c>
      <c r="E2">
        <v>0.58682103</v>
      </c>
      <c r="F2">
        <v>192</v>
      </c>
      <c r="G2">
        <v>344</v>
      </c>
      <c r="H2">
        <v>95</v>
      </c>
      <c r="I2">
        <v>209</v>
      </c>
      <c r="K2" s="3" t="s">
        <v>167</v>
      </c>
    </row>
    <row r="3" spans="1:11" ht="12">
      <c r="A3" t="s">
        <v>496</v>
      </c>
      <c r="B3" t="s">
        <v>363</v>
      </c>
      <c r="C3">
        <v>2.9</v>
      </c>
      <c r="D3">
        <v>0.488</v>
      </c>
      <c r="E3">
        <v>1.11149808</v>
      </c>
      <c r="F3" s="2">
        <v>304</v>
      </c>
      <c r="G3" s="2">
        <v>330</v>
      </c>
      <c r="H3">
        <v>115</v>
      </c>
      <c r="K3" s="3" t="s">
        <v>316</v>
      </c>
    </row>
    <row r="4" spans="1:11" ht="12">
      <c r="A4" t="s">
        <v>618</v>
      </c>
      <c r="B4" t="s">
        <v>363</v>
      </c>
      <c r="C4">
        <f>(4+8.2)/2</f>
        <v>6.1</v>
      </c>
      <c r="D4">
        <f>(1.1+1.7)/2</f>
        <v>1.4</v>
      </c>
      <c r="E4">
        <v>6.707316</v>
      </c>
      <c r="F4" s="2">
        <v>650</v>
      </c>
      <c r="G4" s="2">
        <v>540</v>
      </c>
      <c r="H4" s="2">
        <v>180</v>
      </c>
      <c r="K4" s="2" t="s">
        <v>364</v>
      </c>
    </row>
    <row r="5" spans="1:11" ht="12">
      <c r="A5" t="s">
        <v>443</v>
      </c>
      <c r="B5" t="s">
        <v>363</v>
      </c>
      <c r="C5">
        <v>2.791</v>
      </c>
      <c r="D5">
        <v>0.736</v>
      </c>
      <c r="E5">
        <v>1.61334983</v>
      </c>
      <c r="F5" s="2">
        <v>445</v>
      </c>
      <c r="G5" s="2">
        <v>415</v>
      </c>
      <c r="H5" s="2">
        <v>123</v>
      </c>
      <c r="I5">
        <v>259</v>
      </c>
      <c r="K5" s="2" t="s">
        <v>444</v>
      </c>
    </row>
    <row r="6" spans="1:11" ht="12">
      <c r="A6" t="s">
        <v>254</v>
      </c>
      <c r="B6" t="s">
        <v>363</v>
      </c>
      <c r="C6">
        <v>2.836</v>
      </c>
      <c r="D6">
        <v>0.4072</v>
      </c>
      <c r="E6">
        <v>0.906995</v>
      </c>
      <c r="F6">
        <v>325</v>
      </c>
      <c r="G6">
        <v>290</v>
      </c>
      <c r="H6">
        <v>102.6</v>
      </c>
      <c r="I6">
        <v>92</v>
      </c>
      <c r="K6" s="3" t="s">
        <v>255</v>
      </c>
    </row>
    <row r="7" spans="1:11" ht="12">
      <c r="A7" t="s">
        <v>87</v>
      </c>
      <c r="B7" t="s">
        <v>363</v>
      </c>
      <c r="C7">
        <v>2.691</v>
      </c>
      <c r="D7">
        <v>0.257</v>
      </c>
      <c r="E7">
        <v>0.54317243</v>
      </c>
      <c r="F7">
        <v>329</v>
      </c>
      <c r="G7">
        <v>329</v>
      </c>
      <c r="H7">
        <v>75</v>
      </c>
      <c r="I7">
        <v>176</v>
      </c>
      <c r="K7" s="3" t="s">
        <v>88</v>
      </c>
    </row>
    <row r="8" spans="1:11" ht="12">
      <c r="A8" t="s">
        <v>79</v>
      </c>
      <c r="B8" t="s">
        <v>363</v>
      </c>
      <c r="C8">
        <v>0.91</v>
      </c>
      <c r="D8">
        <v>0.37</v>
      </c>
      <c r="E8">
        <v>0.26444418</v>
      </c>
      <c r="F8">
        <v>182</v>
      </c>
      <c r="G8">
        <v>327</v>
      </c>
      <c r="H8">
        <v>35</v>
      </c>
      <c r="I8">
        <v>272</v>
      </c>
      <c r="K8" s="3" t="s">
        <v>80</v>
      </c>
    </row>
    <row r="9" spans="1:11" ht="12">
      <c r="A9" t="s">
        <v>21</v>
      </c>
      <c r="B9" t="s">
        <v>363</v>
      </c>
      <c r="C9">
        <f>(0.85+1.49)/2</f>
        <v>1.17</v>
      </c>
      <c r="D9">
        <f>(0.39+0.67)/2</f>
        <v>0.53</v>
      </c>
      <c r="E9">
        <v>0.48702654</v>
      </c>
      <c r="F9" s="2">
        <v>336</v>
      </c>
      <c r="G9" s="2">
        <v>396</v>
      </c>
      <c r="H9" s="2">
        <f>(60+84)/2</f>
        <v>72</v>
      </c>
      <c r="I9">
        <f>(444+660)/2</f>
        <v>552</v>
      </c>
      <c r="K9" s="3" t="s">
        <v>22</v>
      </c>
    </row>
    <row r="10" spans="1:11" ht="12">
      <c r="A10" t="s">
        <v>356</v>
      </c>
      <c r="B10" t="s">
        <v>363</v>
      </c>
      <c r="C10">
        <f>(2.4+3.6)/2</f>
        <v>3</v>
      </c>
      <c r="D10">
        <f>(0.9+1.2)/2</f>
        <v>1.05</v>
      </c>
      <c r="E10">
        <v>2.47401</v>
      </c>
      <c r="F10" s="2">
        <v>343</v>
      </c>
      <c r="G10" s="2">
        <v>436</v>
      </c>
      <c r="H10" s="2">
        <f>(124+171)/2</f>
        <v>147.5</v>
      </c>
      <c r="I10">
        <f>(390+560)/2</f>
        <v>475</v>
      </c>
      <c r="K10" s="2" t="s">
        <v>354</v>
      </c>
    </row>
    <row r="11" spans="1:11" ht="12">
      <c r="A11" t="s">
        <v>355</v>
      </c>
      <c r="B11" t="s">
        <v>363</v>
      </c>
      <c r="C11">
        <f>(2+2.6)/2</f>
        <v>2.3</v>
      </c>
      <c r="D11">
        <f>(0.8+1.1)/2</f>
        <v>0.9500000000000001</v>
      </c>
      <c r="E11">
        <v>1.716099</v>
      </c>
      <c r="F11" s="2">
        <v>296</v>
      </c>
      <c r="G11" s="2">
        <v>514</v>
      </c>
      <c r="H11" s="2">
        <f>(109+140)/2</f>
        <v>124.5</v>
      </c>
      <c r="I11">
        <f>(436+483)/2</f>
        <v>459.5</v>
      </c>
      <c r="K11" s="2" t="s">
        <v>354</v>
      </c>
    </row>
    <row r="12" spans="1:11" ht="12">
      <c r="A12" t="s">
        <v>360</v>
      </c>
      <c r="B12" t="s">
        <v>363</v>
      </c>
      <c r="C12">
        <v>0.688</v>
      </c>
      <c r="D12">
        <v>0.349</v>
      </c>
      <c r="E12">
        <v>0.18858396</v>
      </c>
      <c r="F12">
        <v>155</v>
      </c>
      <c r="G12">
        <v>205</v>
      </c>
      <c r="H12">
        <v>50</v>
      </c>
      <c r="I12">
        <v>52</v>
      </c>
      <c r="K12" t="s">
        <v>361</v>
      </c>
    </row>
    <row r="13" spans="1:11" ht="12">
      <c r="A13" t="s">
        <v>549</v>
      </c>
      <c r="B13" t="s">
        <v>363</v>
      </c>
      <c r="C13">
        <v>1.8</v>
      </c>
      <c r="D13">
        <v>0.45</v>
      </c>
      <c r="E13">
        <v>0.636174</v>
      </c>
      <c r="F13">
        <v>270</v>
      </c>
      <c r="G13">
        <v>296</v>
      </c>
      <c r="H13">
        <v>99</v>
      </c>
      <c r="I13">
        <v>316</v>
      </c>
      <c r="K13" s="3" t="s">
        <v>550</v>
      </c>
    </row>
    <row r="14" spans="1:11" ht="12">
      <c r="A14" t="s">
        <v>353</v>
      </c>
      <c r="B14" t="s">
        <v>363</v>
      </c>
      <c r="C14">
        <f>(1.2+1.8)/2</f>
        <v>1.5</v>
      </c>
      <c r="D14">
        <f>(0.4+0.8)/2</f>
        <v>0.6000000000000001</v>
      </c>
      <c r="E14">
        <v>0.70686</v>
      </c>
      <c r="F14" s="2">
        <v>228</v>
      </c>
      <c r="G14" s="2">
        <v>420</v>
      </c>
      <c r="H14" s="2">
        <f>(71+93)/2</f>
        <v>82</v>
      </c>
      <c r="I14">
        <f>(280+312)/2</f>
        <v>296</v>
      </c>
      <c r="K14" s="2" t="s">
        <v>354</v>
      </c>
    </row>
    <row r="15" spans="1:11" ht="12">
      <c r="A15" t="s">
        <v>333</v>
      </c>
      <c r="B15" t="s">
        <v>252</v>
      </c>
      <c r="C15">
        <f>(0.54+0.67)/2</f>
        <v>0.605</v>
      </c>
      <c r="D15">
        <f>(0.12+0.13)/2</f>
        <v>0.125</v>
      </c>
      <c r="E15">
        <v>0.05939588</v>
      </c>
      <c r="F15" s="2"/>
      <c r="G15" s="2"/>
      <c r="H15" s="2"/>
      <c r="I15">
        <f>(130+200)/2</f>
        <v>165</v>
      </c>
      <c r="K15" t="s">
        <v>325</v>
      </c>
    </row>
    <row r="16" spans="1:11" ht="12">
      <c r="A16" t="s">
        <v>251</v>
      </c>
      <c r="B16" t="s">
        <v>252</v>
      </c>
      <c r="C16">
        <f>(1.09+1.72)/2</f>
        <v>1.405</v>
      </c>
      <c r="D16">
        <f>(0.5+0.72)/2</f>
        <v>0.61</v>
      </c>
      <c r="E16">
        <v>0.67312707</v>
      </c>
      <c r="F16" s="2">
        <v>210</v>
      </c>
      <c r="G16" s="2"/>
      <c r="H16" s="2"/>
      <c r="K16" t="s">
        <v>253</v>
      </c>
    </row>
    <row r="17" spans="1:11" ht="12">
      <c r="A17" t="s">
        <v>562</v>
      </c>
      <c r="B17" t="s">
        <v>252</v>
      </c>
      <c r="C17">
        <v>0.689</v>
      </c>
      <c r="D17">
        <v>0.259</v>
      </c>
      <c r="E17">
        <v>0.14015542</v>
      </c>
      <c r="F17" s="2">
        <v>200</v>
      </c>
      <c r="G17" s="2"/>
      <c r="H17" s="2">
        <v>45</v>
      </c>
      <c r="I17">
        <v>160</v>
      </c>
      <c r="K17" s="2" t="s">
        <v>563</v>
      </c>
    </row>
    <row r="18" spans="1:11" ht="12">
      <c r="A18" t="s">
        <v>332</v>
      </c>
      <c r="B18" t="s">
        <v>252</v>
      </c>
      <c r="C18">
        <f>(2.44+2.68)/2</f>
        <v>2.56</v>
      </c>
      <c r="D18">
        <f>(0.28+0.44)/2</f>
        <v>0.36</v>
      </c>
      <c r="E18">
        <v>0.72382464</v>
      </c>
      <c r="F18" s="2">
        <v>110</v>
      </c>
      <c r="G18" s="2"/>
      <c r="H18" s="2">
        <f>(60+110)/2</f>
        <v>85</v>
      </c>
      <c r="I18">
        <f>(540+760)/2</f>
        <v>650</v>
      </c>
      <c r="K18" t="s">
        <v>325</v>
      </c>
    </row>
    <row r="19" spans="1:11" ht="12">
      <c r="A19" t="s">
        <v>615</v>
      </c>
      <c r="B19" t="s">
        <v>252</v>
      </c>
      <c r="C19">
        <f>(1.448+2.252)/2</f>
        <v>1.8499999999999999</v>
      </c>
      <c r="D19">
        <f>(0.385+0.475)/2</f>
        <v>0.43</v>
      </c>
      <c r="E19">
        <v>0.6247857</v>
      </c>
      <c r="H19">
        <f>(73+91)/2</f>
        <v>82</v>
      </c>
      <c r="I19">
        <f>(332+750)/2</f>
        <v>541</v>
      </c>
      <c r="K19" s="2" t="s">
        <v>616</v>
      </c>
    </row>
    <row r="20" spans="1:11" ht="12">
      <c r="A20" t="s">
        <v>298</v>
      </c>
      <c r="B20" t="s">
        <v>252</v>
      </c>
      <c r="C20">
        <v>1.376</v>
      </c>
      <c r="D20">
        <v>0.399</v>
      </c>
      <c r="E20">
        <v>0.43120345</v>
      </c>
      <c r="H20">
        <v>109</v>
      </c>
      <c r="I20">
        <v>350</v>
      </c>
      <c r="K20" s="3" t="s">
        <v>299</v>
      </c>
    </row>
    <row r="21" spans="1:11" ht="12">
      <c r="A21" t="s">
        <v>324</v>
      </c>
      <c r="B21" t="s">
        <v>252</v>
      </c>
      <c r="C21">
        <f>(0.66+0.9)/2</f>
        <v>0.78</v>
      </c>
      <c r="D21">
        <f>(0.1+0.23)/2</f>
        <v>0.165</v>
      </c>
      <c r="E21">
        <v>0.10108098</v>
      </c>
      <c r="F21" s="2"/>
      <c r="G21" s="2"/>
      <c r="H21" s="2"/>
      <c r="I21">
        <f>(90+150)/2</f>
        <v>120</v>
      </c>
      <c r="K21" t="s">
        <v>325</v>
      </c>
    </row>
    <row r="22" spans="1:11" ht="12">
      <c r="A22" t="s">
        <v>32</v>
      </c>
      <c r="B22" t="s">
        <v>252</v>
      </c>
      <c r="C22">
        <v>1.974</v>
      </c>
      <c r="D22">
        <v>0.208</v>
      </c>
      <c r="E22">
        <v>0.32247896</v>
      </c>
      <c r="F22">
        <v>210</v>
      </c>
      <c r="H22">
        <v>61</v>
      </c>
      <c r="I22">
        <v>364</v>
      </c>
      <c r="K22" s="3" t="s">
        <v>31</v>
      </c>
    </row>
    <row r="23" spans="1:11" ht="12">
      <c r="A23" t="s">
        <v>326</v>
      </c>
      <c r="B23" t="s">
        <v>252</v>
      </c>
      <c r="C23">
        <v>0.68</v>
      </c>
      <c r="D23">
        <v>0.3</v>
      </c>
      <c r="E23">
        <v>0.1602216</v>
      </c>
      <c r="F23" s="2">
        <v>90</v>
      </c>
      <c r="G23" s="2"/>
      <c r="H23" s="2"/>
      <c r="I23">
        <v>230</v>
      </c>
      <c r="K23" t="s">
        <v>325</v>
      </c>
    </row>
    <row r="24" spans="1:11" ht="12">
      <c r="A24" t="s">
        <v>328</v>
      </c>
      <c r="B24" t="s">
        <v>252</v>
      </c>
      <c r="C24">
        <f>(1.22+4.07)/2</f>
        <v>2.645</v>
      </c>
      <c r="D24">
        <f>(0.16+0.5)/2</f>
        <v>0.33</v>
      </c>
      <c r="E24">
        <v>0.68553639</v>
      </c>
      <c r="F24" s="2">
        <v>148</v>
      </c>
      <c r="G24" s="2"/>
      <c r="H24" s="2">
        <f>(31+60)/2</f>
        <v>45.5</v>
      </c>
      <c r="K24" t="s">
        <v>325</v>
      </c>
    </row>
    <row r="25" spans="1:11" ht="12">
      <c r="A25" t="s">
        <v>327</v>
      </c>
      <c r="B25" t="s">
        <v>252</v>
      </c>
      <c r="C25">
        <f>(0.98+1)/2</f>
        <v>0.99</v>
      </c>
      <c r="D25">
        <f>(0.24+0.3)/2</f>
        <v>0.27</v>
      </c>
      <c r="E25">
        <v>0.20993742</v>
      </c>
      <c r="F25" s="2">
        <v>81</v>
      </c>
      <c r="G25" s="2"/>
      <c r="H25" s="2">
        <v>27</v>
      </c>
      <c r="K25" t="s">
        <v>325</v>
      </c>
    </row>
    <row r="26" spans="1:11" ht="12">
      <c r="A26" t="s">
        <v>476</v>
      </c>
      <c r="B26" t="s">
        <v>252</v>
      </c>
      <c r="C26">
        <f>(3.979+6.57)/2</f>
        <v>5.2745</v>
      </c>
      <c r="D26">
        <f>(0.504+0.548)/2</f>
        <v>0.526</v>
      </c>
      <c r="E26">
        <v>2.17900355</v>
      </c>
      <c r="F26" s="2">
        <v>219</v>
      </c>
      <c r="G26" s="2"/>
      <c r="H26" s="2">
        <f>(136+153)/2</f>
        <v>144.5</v>
      </c>
      <c r="I26">
        <f>(496+548)/2</f>
        <v>522</v>
      </c>
      <c r="K26" s="2" t="s">
        <v>477</v>
      </c>
    </row>
    <row r="27" spans="1:11" ht="12">
      <c r="A27" t="s">
        <v>566</v>
      </c>
      <c r="B27" t="s">
        <v>252</v>
      </c>
      <c r="C27">
        <f>(1.253+1.561)/2</f>
        <v>1.407</v>
      </c>
      <c r="D27">
        <f>(0.456+0.57)/2</f>
        <v>0.513</v>
      </c>
      <c r="E27">
        <v>0.56689465</v>
      </c>
      <c r="F27" s="2"/>
      <c r="G27" s="2"/>
      <c r="H27" s="2">
        <v>144</v>
      </c>
      <c r="I27">
        <f>(375+469)/2</f>
        <v>422</v>
      </c>
      <c r="K27" s="2" t="s">
        <v>567</v>
      </c>
    </row>
    <row r="28" spans="1:11" ht="12">
      <c r="A28" t="s">
        <v>568</v>
      </c>
      <c r="B28" t="s">
        <v>252</v>
      </c>
      <c r="C28">
        <f>(2.7+2.854)/2</f>
        <v>2.777</v>
      </c>
      <c r="D28">
        <f>(0.509+0.65)/2</f>
        <v>0.5795</v>
      </c>
      <c r="E28">
        <v>1.26392184</v>
      </c>
      <c r="H28">
        <f>(121+141)/2</f>
        <v>131</v>
      </c>
      <c r="I28">
        <f>(670+683)/2</f>
        <v>676.5</v>
      </c>
      <c r="K28" s="2" t="s">
        <v>567</v>
      </c>
    </row>
    <row r="29" spans="1:11" ht="12">
      <c r="A29" t="s">
        <v>162</v>
      </c>
      <c r="B29" t="s">
        <v>252</v>
      </c>
      <c r="C29">
        <v>2.86</v>
      </c>
      <c r="D29">
        <v>1.185</v>
      </c>
      <c r="E29">
        <v>2.66179914</v>
      </c>
      <c r="H29">
        <v>136</v>
      </c>
      <c r="I29">
        <v>486</v>
      </c>
      <c r="K29" s="3" t="s">
        <v>161</v>
      </c>
    </row>
    <row r="30" spans="1:11" ht="12">
      <c r="A30" t="s">
        <v>178</v>
      </c>
      <c r="B30" t="s">
        <v>252</v>
      </c>
      <c r="C30">
        <v>1.989</v>
      </c>
      <c r="D30">
        <v>0.247</v>
      </c>
      <c r="E30">
        <v>0.38585367</v>
      </c>
      <c r="F30">
        <v>299</v>
      </c>
      <c r="H30">
        <v>62</v>
      </c>
      <c r="I30">
        <v>344</v>
      </c>
      <c r="K30" s="3" t="s">
        <v>177</v>
      </c>
    </row>
    <row r="31" spans="1:11" ht="12">
      <c r="A31" t="s">
        <v>179</v>
      </c>
      <c r="B31" t="s">
        <v>252</v>
      </c>
      <c r="C31">
        <v>2.304</v>
      </c>
      <c r="D31">
        <v>0.176</v>
      </c>
      <c r="E31">
        <v>0.31848284</v>
      </c>
      <c r="F31">
        <v>238</v>
      </c>
      <c r="H31">
        <v>55</v>
      </c>
      <c r="I31">
        <v>289</v>
      </c>
      <c r="K31" s="3" t="s">
        <v>177</v>
      </c>
    </row>
    <row r="32" spans="1:11" ht="12">
      <c r="A32" t="s">
        <v>334</v>
      </c>
      <c r="B32" t="s">
        <v>252</v>
      </c>
      <c r="C32">
        <f>(0.82+1)/2</f>
        <v>0.9099999999999999</v>
      </c>
      <c r="D32">
        <f>(0.25+0.26)/2</f>
        <v>0.255</v>
      </c>
      <c r="E32">
        <v>0.18225207</v>
      </c>
      <c r="F32" s="2"/>
      <c r="G32" s="2"/>
      <c r="H32" s="2"/>
      <c r="I32">
        <v>300</v>
      </c>
      <c r="K32" t="s">
        <v>325</v>
      </c>
    </row>
    <row r="33" spans="1:11" ht="12">
      <c r="A33" t="s">
        <v>173</v>
      </c>
      <c r="B33" t="s">
        <v>252</v>
      </c>
      <c r="C33">
        <v>1.832</v>
      </c>
      <c r="D33">
        <v>0.455</v>
      </c>
      <c r="E33">
        <v>0.65467802</v>
      </c>
      <c r="F33">
        <v>142</v>
      </c>
      <c r="H33">
        <v>95</v>
      </c>
      <c r="I33">
        <v>552</v>
      </c>
      <c r="K33" s="3" t="s">
        <v>172</v>
      </c>
    </row>
    <row r="34" spans="1:11" ht="12">
      <c r="A34" t="s">
        <v>33</v>
      </c>
      <c r="B34" t="s">
        <v>252</v>
      </c>
      <c r="C34">
        <v>1.412</v>
      </c>
      <c r="D34">
        <v>0.22</v>
      </c>
      <c r="E34">
        <v>0.24397666</v>
      </c>
      <c r="F34">
        <v>93</v>
      </c>
      <c r="H34">
        <v>53</v>
      </c>
      <c r="I34">
        <v>355</v>
      </c>
      <c r="K34" s="3" t="s">
        <v>31</v>
      </c>
    </row>
    <row r="35" spans="1:11" ht="12">
      <c r="A35" t="s">
        <v>220</v>
      </c>
      <c r="B35" t="s">
        <v>252</v>
      </c>
      <c r="C35">
        <v>2.504</v>
      </c>
      <c r="D35">
        <v>0.594</v>
      </c>
      <c r="E35">
        <v>1.16818511</v>
      </c>
      <c r="F35">
        <v>232</v>
      </c>
      <c r="H35">
        <v>172</v>
      </c>
      <c r="I35">
        <v>759</v>
      </c>
      <c r="K35" s="3" t="s">
        <v>218</v>
      </c>
    </row>
    <row r="36" spans="1:11" ht="12">
      <c r="A36" t="s">
        <v>219</v>
      </c>
      <c r="B36" t="s">
        <v>252</v>
      </c>
      <c r="C36">
        <v>3.328</v>
      </c>
      <c r="D36">
        <v>0.702</v>
      </c>
      <c r="E36">
        <v>1.83489546</v>
      </c>
      <c r="F36">
        <v>385</v>
      </c>
      <c r="H36">
        <v>179</v>
      </c>
      <c r="I36">
        <v>942</v>
      </c>
      <c r="K36" s="3" t="s">
        <v>218</v>
      </c>
    </row>
    <row r="37" spans="1:11" ht="12">
      <c r="A37" t="s">
        <v>210</v>
      </c>
      <c r="B37" t="s">
        <v>252</v>
      </c>
      <c r="C37">
        <v>0.546</v>
      </c>
      <c r="D37">
        <v>0.272</v>
      </c>
      <c r="E37">
        <v>0.11664132</v>
      </c>
      <c r="F37">
        <v>137</v>
      </c>
      <c r="H37">
        <v>79</v>
      </c>
      <c r="I37">
        <v>232</v>
      </c>
      <c r="K37" s="3" t="s">
        <v>31</v>
      </c>
    </row>
    <row r="38" spans="1:11" ht="12">
      <c r="A38" t="s">
        <v>330</v>
      </c>
      <c r="B38" t="s">
        <v>252</v>
      </c>
      <c r="C38">
        <f>(1.06+2.02)/2</f>
        <v>1.54</v>
      </c>
      <c r="D38">
        <f>(0.27+0.45)/2</f>
        <v>0.36</v>
      </c>
      <c r="E38">
        <v>0.43542576</v>
      </c>
      <c r="F38" s="2"/>
      <c r="G38" s="2"/>
      <c r="H38" s="2">
        <v>43</v>
      </c>
      <c r="I38">
        <v>350</v>
      </c>
      <c r="K38" t="s">
        <v>325</v>
      </c>
    </row>
    <row r="39" spans="1:11" ht="12">
      <c r="A39" t="s">
        <v>329</v>
      </c>
      <c r="B39" t="s">
        <v>252</v>
      </c>
      <c r="C39">
        <f>(1.09+1.6)/2</f>
        <v>1.3450000000000002</v>
      </c>
      <c r="D39">
        <f>(0.4+0.48)/2</f>
        <v>0.44</v>
      </c>
      <c r="E39">
        <v>0.46479972</v>
      </c>
      <c r="F39" s="2"/>
      <c r="G39" s="2"/>
      <c r="H39" s="2">
        <v>160</v>
      </c>
      <c r="I39">
        <v>180</v>
      </c>
      <c r="K39" t="s">
        <v>325</v>
      </c>
    </row>
    <row r="40" spans="1:11" ht="12">
      <c r="A40" t="s">
        <v>29</v>
      </c>
      <c r="B40" t="s">
        <v>252</v>
      </c>
      <c r="C40">
        <v>2.335</v>
      </c>
      <c r="D40">
        <v>0.775</v>
      </c>
      <c r="E40">
        <v>1.42127948</v>
      </c>
      <c r="F40">
        <v>277</v>
      </c>
      <c r="H40">
        <v>128</v>
      </c>
      <c r="I40">
        <v>488</v>
      </c>
      <c r="K40" s="3" t="s">
        <v>28</v>
      </c>
    </row>
    <row r="41" spans="1:11" ht="12">
      <c r="A41" t="s">
        <v>331</v>
      </c>
      <c r="B41" t="s">
        <v>252</v>
      </c>
      <c r="C41">
        <f>(1+1.15)/2</f>
        <v>1.075</v>
      </c>
      <c r="D41">
        <f>(0.25+0.28)/2</f>
        <v>0.265</v>
      </c>
      <c r="E41">
        <v>0.22374083</v>
      </c>
      <c r="F41" s="2"/>
      <c r="G41" s="2"/>
      <c r="H41" s="2"/>
      <c r="I41">
        <v>400</v>
      </c>
      <c r="K41" t="s">
        <v>325</v>
      </c>
    </row>
    <row r="42" spans="1:11" ht="12">
      <c r="A42" t="s">
        <v>30</v>
      </c>
      <c r="B42" t="s">
        <v>252</v>
      </c>
      <c r="C42">
        <v>1.646</v>
      </c>
      <c r="D42">
        <v>0.24</v>
      </c>
      <c r="E42">
        <v>0.31026442</v>
      </c>
      <c r="F42">
        <v>101</v>
      </c>
      <c r="H42">
        <v>62</v>
      </c>
      <c r="I42">
        <v>456</v>
      </c>
      <c r="K42" s="3" t="s">
        <v>28</v>
      </c>
    </row>
    <row r="43" spans="1:11" ht="12">
      <c r="A43" t="s">
        <v>48</v>
      </c>
      <c r="B43" t="s">
        <v>252</v>
      </c>
      <c r="C43">
        <v>1.773</v>
      </c>
      <c r="D43">
        <v>0.324</v>
      </c>
      <c r="E43">
        <v>0.4511746</v>
      </c>
      <c r="F43">
        <v>163</v>
      </c>
      <c r="H43">
        <v>98</v>
      </c>
      <c r="I43">
        <v>333</v>
      </c>
      <c r="K43" s="3" t="s">
        <v>224</v>
      </c>
    </row>
    <row r="44" spans="1:11" ht="12">
      <c r="A44" t="s">
        <v>49</v>
      </c>
      <c r="B44" t="s">
        <v>252</v>
      </c>
      <c r="C44">
        <v>3.629</v>
      </c>
      <c r="D44">
        <v>0.798</v>
      </c>
      <c r="E44">
        <v>2.27447285</v>
      </c>
      <c r="F44">
        <v>228</v>
      </c>
      <c r="H44">
        <v>125</v>
      </c>
      <c r="I44">
        <v>640</v>
      </c>
      <c r="K44" s="3" t="s">
        <v>224</v>
      </c>
    </row>
    <row r="45" spans="1:11" ht="12">
      <c r="A45" t="s">
        <v>50</v>
      </c>
      <c r="B45" t="s">
        <v>252</v>
      </c>
      <c r="C45">
        <v>1.561</v>
      </c>
      <c r="D45">
        <v>0.566</v>
      </c>
      <c r="E45">
        <v>0.69392132</v>
      </c>
      <c r="F45">
        <v>176</v>
      </c>
      <c r="H45">
        <v>126</v>
      </c>
      <c r="I45">
        <v>312</v>
      </c>
      <c r="K45" s="3" t="s">
        <v>224</v>
      </c>
    </row>
    <row r="46" spans="1:11" ht="12">
      <c r="A46" t="s">
        <v>51</v>
      </c>
      <c r="B46" t="s">
        <v>252</v>
      </c>
      <c r="C46">
        <v>1.084</v>
      </c>
      <c r="D46">
        <v>0.306</v>
      </c>
      <c r="E46">
        <v>0.26052032</v>
      </c>
      <c r="F46">
        <v>127</v>
      </c>
      <c r="H46">
        <v>99</v>
      </c>
      <c r="I46">
        <v>351</v>
      </c>
      <c r="K46" s="3" t="s">
        <v>224</v>
      </c>
    </row>
    <row r="47" spans="1:11" ht="12">
      <c r="A47" t="s">
        <v>482</v>
      </c>
      <c r="B47" t="s">
        <v>411</v>
      </c>
      <c r="C47">
        <v>4.21</v>
      </c>
      <c r="D47">
        <v>0.4</v>
      </c>
      <c r="E47">
        <v>1.3226136</v>
      </c>
      <c r="F47">
        <v>330</v>
      </c>
      <c r="G47">
        <v>190</v>
      </c>
      <c r="H47">
        <v>170</v>
      </c>
      <c r="K47" s="3" t="s">
        <v>483</v>
      </c>
    </row>
    <row r="48" spans="1:11" ht="12">
      <c r="A48" t="s">
        <v>470</v>
      </c>
      <c r="B48" t="s">
        <v>411</v>
      </c>
      <c r="C48">
        <f>(0.31+0.61)/2</f>
        <v>0.45999999999999996</v>
      </c>
      <c r="D48">
        <f>(0.15+0.2)/2</f>
        <v>0.175</v>
      </c>
      <c r="E48">
        <v>0.0632247</v>
      </c>
      <c r="F48" s="2">
        <v>140</v>
      </c>
      <c r="G48" s="2">
        <v>50</v>
      </c>
      <c r="H48" s="2">
        <f>(40+45)/2</f>
        <v>42.5</v>
      </c>
      <c r="K48" s="2" t="s">
        <v>450</v>
      </c>
    </row>
    <row r="49" spans="1:11" ht="12">
      <c r="A49" t="s">
        <v>81</v>
      </c>
      <c r="B49" t="s">
        <v>411</v>
      </c>
      <c r="C49">
        <f>(0.611+0.969)/2</f>
        <v>0.79</v>
      </c>
      <c r="D49">
        <f>(0.213+0.315)/2</f>
        <v>0.264</v>
      </c>
      <c r="E49">
        <v>0.16380302</v>
      </c>
      <c r="F49">
        <v>145</v>
      </c>
      <c r="G49">
        <v>59</v>
      </c>
      <c r="H49">
        <f>(31+52)/2</f>
        <v>41.5</v>
      </c>
      <c r="K49" s="3" t="s">
        <v>82</v>
      </c>
    </row>
    <row r="50" spans="1:11" ht="12">
      <c r="A50" t="s">
        <v>91</v>
      </c>
      <c r="B50" t="s">
        <v>411</v>
      </c>
      <c r="C50">
        <v>1.366</v>
      </c>
      <c r="D50">
        <v>0.604</v>
      </c>
      <c r="E50">
        <v>0.64800527</v>
      </c>
      <c r="F50">
        <v>527</v>
      </c>
      <c r="G50">
        <v>235</v>
      </c>
      <c r="H50">
        <v>95</v>
      </c>
      <c r="K50" s="3" t="s">
        <v>92</v>
      </c>
    </row>
    <row r="51" spans="1:11" ht="12">
      <c r="A51" t="s">
        <v>585</v>
      </c>
      <c r="B51" t="s">
        <v>411</v>
      </c>
      <c r="C51">
        <v>0.861</v>
      </c>
      <c r="D51">
        <v>0.082</v>
      </c>
      <c r="E51">
        <v>0.05545081</v>
      </c>
      <c r="F51" s="2">
        <v>52</v>
      </c>
      <c r="G51" s="2"/>
      <c r="H51" s="2">
        <v>35</v>
      </c>
      <c r="K51" s="2" t="s">
        <v>384</v>
      </c>
    </row>
    <row r="52" spans="1:11" ht="12">
      <c r="A52" t="s">
        <v>412</v>
      </c>
      <c r="B52" t="s">
        <v>411</v>
      </c>
      <c r="C52">
        <v>0.466</v>
      </c>
      <c r="D52">
        <v>0.302</v>
      </c>
      <c r="E52">
        <v>0.11053091</v>
      </c>
      <c r="F52" s="2">
        <v>193</v>
      </c>
      <c r="G52" s="2">
        <v>61</v>
      </c>
      <c r="H52">
        <v>57</v>
      </c>
      <c r="K52" t="s">
        <v>413</v>
      </c>
    </row>
    <row r="53" spans="1:11" ht="12">
      <c r="A53" t="s">
        <v>143</v>
      </c>
      <c r="B53" t="s">
        <v>411</v>
      </c>
      <c r="C53">
        <f>(1.78+2.79)/2</f>
        <v>2.285</v>
      </c>
      <c r="D53">
        <f>(0.69+0.85)/2</f>
        <v>0.77</v>
      </c>
      <c r="E53">
        <v>1.38187203</v>
      </c>
      <c r="F53" s="2">
        <v>230</v>
      </c>
      <c r="G53" s="2">
        <v>120</v>
      </c>
      <c r="H53" s="2">
        <f>(50+90)/2</f>
        <v>70</v>
      </c>
      <c r="K53" s="2" t="s">
        <v>144</v>
      </c>
    </row>
    <row r="54" spans="1:11" ht="12">
      <c r="A54" t="s">
        <v>379</v>
      </c>
      <c r="B54" t="s">
        <v>411</v>
      </c>
      <c r="C54">
        <v>0.802</v>
      </c>
      <c r="D54">
        <v>0.426</v>
      </c>
      <c r="E54">
        <v>0.26833348</v>
      </c>
      <c r="F54">
        <v>224</v>
      </c>
      <c r="G54">
        <v>99</v>
      </c>
      <c r="H54">
        <v>107</v>
      </c>
      <c r="K54" s="3" t="s">
        <v>380</v>
      </c>
    </row>
    <row r="55" spans="1:11" ht="12">
      <c r="A55" t="s">
        <v>604</v>
      </c>
      <c r="B55" t="s">
        <v>411</v>
      </c>
      <c r="C55">
        <f>(8.93+13.908)/2</f>
        <v>11.419</v>
      </c>
      <c r="D55">
        <f>(0.334+0.368)/2</f>
        <v>0.351</v>
      </c>
      <c r="E55">
        <v>3.14793739</v>
      </c>
      <c r="F55" s="2">
        <v>368</v>
      </c>
      <c r="G55" s="2">
        <v>154</v>
      </c>
      <c r="H55" s="2">
        <f>(120+167)/2</f>
        <v>143.5</v>
      </c>
      <c r="K55" s="2" t="s">
        <v>600</v>
      </c>
    </row>
    <row r="56" spans="1:11" ht="12">
      <c r="A56" t="s">
        <v>449</v>
      </c>
      <c r="B56" t="s">
        <v>411</v>
      </c>
      <c r="C56">
        <f>(1.2+1.5)/2</f>
        <v>1.35</v>
      </c>
      <c r="D56">
        <f>(0.25+0.35)/2</f>
        <v>0.3</v>
      </c>
      <c r="E56">
        <v>0.318087</v>
      </c>
      <c r="F56" s="2">
        <v>260</v>
      </c>
      <c r="G56" s="2">
        <v>90</v>
      </c>
      <c r="H56" s="2">
        <v>65</v>
      </c>
      <c r="K56" s="2" t="s">
        <v>450</v>
      </c>
    </row>
    <row r="57" spans="1:11" ht="12">
      <c r="A57" t="s">
        <v>146</v>
      </c>
      <c r="B57" t="s">
        <v>411</v>
      </c>
      <c r="C57">
        <f>(0.29+0.67)/2</f>
        <v>0.48</v>
      </c>
      <c r="D57">
        <f>(0.14+0.34)/2</f>
        <v>0.24000000000000002</v>
      </c>
      <c r="E57">
        <v>0.09047808</v>
      </c>
      <c r="F57" s="2">
        <v>130</v>
      </c>
      <c r="G57" s="2">
        <v>64</v>
      </c>
      <c r="H57" s="2">
        <f>(23+40)/2</f>
        <v>31.5</v>
      </c>
      <c r="K57" s="2" t="s">
        <v>144</v>
      </c>
    </row>
    <row r="58" spans="1:11" ht="12">
      <c r="A58" t="s">
        <v>147</v>
      </c>
      <c r="B58" t="s">
        <v>411</v>
      </c>
      <c r="C58">
        <f>(1.36+2.32)/2</f>
        <v>1.8399999999999999</v>
      </c>
      <c r="D58">
        <f>(0.46+0.81)/2</f>
        <v>0.635</v>
      </c>
      <c r="E58">
        <v>0.91766136</v>
      </c>
      <c r="F58" s="2">
        <v>210</v>
      </c>
      <c r="G58" s="2">
        <v>140</v>
      </c>
      <c r="H58" s="2">
        <f>(70+120)/2</f>
        <v>95</v>
      </c>
      <c r="K58" s="2" t="s">
        <v>144</v>
      </c>
    </row>
    <row r="59" spans="1:11" ht="12">
      <c r="A59" t="s">
        <v>538</v>
      </c>
      <c r="B59" t="s">
        <v>411</v>
      </c>
      <c r="C59">
        <f>(1.52+1.64)/2</f>
        <v>1.58</v>
      </c>
      <c r="D59">
        <f>(0.44+0.53)/2</f>
        <v>0.485</v>
      </c>
      <c r="E59">
        <v>0.60185202</v>
      </c>
      <c r="F59" s="2">
        <v>130</v>
      </c>
      <c r="G59" s="2">
        <v>67</v>
      </c>
      <c r="H59" s="2">
        <f>(46+580)/2</f>
        <v>313</v>
      </c>
      <c r="K59" s="2" t="s">
        <v>144</v>
      </c>
    </row>
    <row r="60" spans="1:11" ht="12">
      <c r="A60" t="s">
        <v>272</v>
      </c>
      <c r="B60" t="s">
        <v>411</v>
      </c>
      <c r="C60">
        <f>(1.41+2.08)/2</f>
        <v>1.745</v>
      </c>
      <c r="D60">
        <f>(0.592+1.05)/2</f>
        <v>0.821</v>
      </c>
      <c r="E60">
        <v>1.12519938</v>
      </c>
      <c r="F60">
        <v>261</v>
      </c>
      <c r="G60">
        <v>156</v>
      </c>
      <c r="H60">
        <f>(86+115)/2</f>
        <v>100.5</v>
      </c>
      <c r="K60" s="2" t="s">
        <v>270</v>
      </c>
    </row>
    <row r="61" spans="1:11" ht="12">
      <c r="A61" t="s">
        <v>601</v>
      </c>
      <c r="B61" t="s">
        <v>411</v>
      </c>
      <c r="C61">
        <f>(1.482+1.92)/2</f>
        <v>1.701</v>
      </c>
      <c r="D61">
        <f>(0.542+0.837)/2</f>
        <v>0.6895</v>
      </c>
      <c r="E61">
        <v>0.92114814</v>
      </c>
      <c r="F61" s="2">
        <v>268</v>
      </c>
      <c r="G61" s="2">
        <v>127</v>
      </c>
      <c r="H61" s="2">
        <f>(97+104)/2</f>
        <v>100.5</v>
      </c>
      <c r="K61" s="2" t="s">
        <v>600</v>
      </c>
    </row>
    <row r="62" spans="1:11" ht="12">
      <c r="A62" t="s">
        <v>271</v>
      </c>
      <c r="B62" t="s">
        <v>411</v>
      </c>
      <c r="C62">
        <f>(1.33+2.1)/2</f>
        <v>1.715</v>
      </c>
      <c r="D62">
        <f>(0.677+0.855)/2</f>
        <v>0.766</v>
      </c>
      <c r="E62">
        <v>1.03177213</v>
      </c>
      <c r="F62">
        <v>198</v>
      </c>
      <c r="G62">
        <v>96</v>
      </c>
      <c r="H62">
        <f>(90+96)/2</f>
        <v>93</v>
      </c>
      <c r="K62" s="2" t="s">
        <v>270</v>
      </c>
    </row>
    <row r="63" spans="1:11" ht="12">
      <c r="A63" t="s">
        <v>611</v>
      </c>
      <c r="B63" t="s">
        <v>411</v>
      </c>
      <c r="C63">
        <v>1.268</v>
      </c>
      <c r="D63">
        <v>0.37</v>
      </c>
      <c r="E63">
        <v>0.36847826</v>
      </c>
      <c r="F63" s="2"/>
      <c r="G63" s="2">
        <v>70</v>
      </c>
      <c r="H63" s="2">
        <v>73</v>
      </c>
      <c r="K63" s="2" t="s">
        <v>612</v>
      </c>
    </row>
    <row r="64" spans="1:11" ht="12">
      <c r="A64" t="s">
        <v>613</v>
      </c>
      <c r="B64" t="s">
        <v>411</v>
      </c>
      <c r="C64">
        <v>1.139</v>
      </c>
      <c r="D64">
        <v>0.68</v>
      </c>
      <c r="E64">
        <v>0.60830801</v>
      </c>
      <c r="F64" s="2">
        <v>158</v>
      </c>
      <c r="G64" s="2">
        <v>208</v>
      </c>
      <c r="H64" s="2">
        <v>152</v>
      </c>
      <c r="K64" s="2" t="s">
        <v>612</v>
      </c>
    </row>
    <row r="65" spans="1:11" ht="12">
      <c r="A65" t="s">
        <v>269</v>
      </c>
      <c r="B65" t="s">
        <v>411</v>
      </c>
      <c r="C65">
        <f>(0.992+1.645)/2</f>
        <v>1.3185</v>
      </c>
      <c r="D65">
        <f>(0.539+0.731)/2</f>
        <v>0.635</v>
      </c>
      <c r="E65">
        <v>0.65757419</v>
      </c>
      <c r="F65">
        <v>296</v>
      </c>
      <c r="G65">
        <v>149</v>
      </c>
      <c r="H65">
        <f>(70+82)/2</f>
        <v>76</v>
      </c>
      <c r="K65" s="2" t="s">
        <v>270</v>
      </c>
    </row>
    <row r="66" spans="1:11" ht="12">
      <c r="A66" t="s">
        <v>602</v>
      </c>
      <c r="B66" t="s">
        <v>411</v>
      </c>
      <c r="C66">
        <f>(0.874+1.216)/2</f>
        <v>1.045</v>
      </c>
      <c r="D66">
        <f>(0.855+1.026)/2</f>
        <v>0.9405</v>
      </c>
      <c r="E66">
        <v>0.77190879</v>
      </c>
      <c r="F66" s="2">
        <v>308</v>
      </c>
      <c r="G66" s="2">
        <v>134</v>
      </c>
      <c r="H66" s="2">
        <v>80</v>
      </c>
      <c r="K66" s="2" t="s">
        <v>603</v>
      </c>
    </row>
    <row r="67" spans="1:11" ht="12">
      <c r="A67" t="s">
        <v>273</v>
      </c>
      <c r="B67" t="s">
        <v>411</v>
      </c>
      <c r="C67">
        <v>2.84</v>
      </c>
      <c r="D67">
        <v>1.06</v>
      </c>
      <c r="E67">
        <v>2.36436816</v>
      </c>
      <c r="F67">
        <v>226</v>
      </c>
      <c r="G67">
        <v>152</v>
      </c>
      <c r="H67">
        <v>133</v>
      </c>
      <c r="K67" s="2" t="s">
        <v>270</v>
      </c>
    </row>
    <row r="68" spans="1:11" ht="12">
      <c r="A68" t="s">
        <v>145</v>
      </c>
      <c r="B68" t="s">
        <v>411</v>
      </c>
      <c r="C68">
        <f>(2.26+3.45)/2</f>
        <v>2.855</v>
      </c>
      <c r="D68">
        <f>(0.23+0.33)/2</f>
        <v>0.28</v>
      </c>
      <c r="E68">
        <v>0.62784876</v>
      </c>
      <c r="F68" s="2">
        <v>200</v>
      </c>
      <c r="G68" s="2">
        <v>140</v>
      </c>
      <c r="H68" s="2">
        <f>(50+120)/2</f>
        <v>85</v>
      </c>
      <c r="K68" s="2" t="s">
        <v>144</v>
      </c>
    </row>
    <row r="69" spans="1:11" ht="12">
      <c r="A69" t="s">
        <v>539</v>
      </c>
      <c r="B69" t="s">
        <v>411</v>
      </c>
      <c r="C69">
        <f>(0.43+1.17)/2</f>
        <v>0.7999999999999999</v>
      </c>
      <c r="D69">
        <f>(0.25+0.74)/2</f>
        <v>0.495</v>
      </c>
      <c r="E69">
        <v>0.3110184</v>
      </c>
      <c r="F69" s="2">
        <v>115</v>
      </c>
      <c r="G69" s="2">
        <v>180</v>
      </c>
      <c r="H69" s="2">
        <f>(112+23)/2</f>
        <v>67.5</v>
      </c>
      <c r="K69" s="2" t="s">
        <v>144</v>
      </c>
    </row>
    <row r="70" spans="1:11" ht="12">
      <c r="A70" t="s">
        <v>406</v>
      </c>
      <c r="B70" t="s">
        <v>411</v>
      </c>
      <c r="C70">
        <v>0.705</v>
      </c>
      <c r="D70">
        <v>0.139</v>
      </c>
      <c r="E70">
        <v>0.07696527</v>
      </c>
      <c r="F70" s="2">
        <v>55</v>
      </c>
      <c r="G70" s="2">
        <v>32</v>
      </c>
      <c r="H70" s="2">
        <v>19</v>
      </c>
      <c r="K70" s="3" t="s">
        <v>407</v>
      </c>
    </row>
    <row r="71" spans="1:11" ht="12">
      <c r="A71" t="s">
        <v>180</v>
      </c>
      <c r="B71" t="s">
        <v>411</v>
      </c>
      <c r="C71">
        <v>1.205</v>
      </c>
      <c r="D71">
        <v>0.401</v>
      </c>
      <c r="E71">
        <v>0.37950921</v>
      </c>
      <c r="F71">
        <v>129</v>
      </c>
      <c r="G71">
        <v>64</v>
      </c>
      <c r="H71">
        <v>93</v>
      </c>
      <c r="K71" s="3" t="s">
        <v>27</v>
      </c>
    </row>
    <row r="72" spans="1:11" ht="12">
      <c r="A72" t="s">
        <v>259</v>
      </c>
      <c r="B72" t="s">
        <v>411</v>
      </c>
      <c r="C72">
        <f>(2.48+3.085)/2</f>
        <v>2.7824999999999998</v>
      </c>
      <c r="D72">
        <f>(0.93+1.035)/2</f>
        <v>0.9824999999999999</v>
      </c>
      <c r="E72">
        <v>2.14713143</v>
      </c>
      <c r="F72">
        <v>263</v>
      </c>
      <c r="G72">
        <v>327</v>
      </c>
      <c r="H72">
        <f>(190+216)/2</f>
        <v>203</v>
      </c>
      <c r="K72" s="2" t="s">
        <v>260</v>
      </c>
    </row>
    <row r="73" spans="1:11" ht="12">
      <c r="A73" t="s">
        <v>451</v>
      </c>
      <c r="B73" t="s">
        <v>411</v>
      </c>
      <c r="C73">
        <f>(1.79+1.98)/2</f>
        <v>1.885</v>
      </c>
      <c r="D73">
        <f>(0.887+0.957)/2</f>
        <v>0.9219999999999999</v>
      </c>
      <c r="E73">
        <v>1.36500164</v>
      </c>
      <c r="F73">
        <v>291</v>
      </c>
      <c r="G73">
        <v>131</v>
      </c>
      <c r="H73">
        <f>(86+98)/2</f>
        <v>92</v>
      </c>
      <c r="K73" s="2" t="s">
        <v>270</v>
      </c>
    </row>
    <row r="74" spans="1:11" ht="12">
      <c r="A74" t="s">
        <v>542</v>
      </c>
      <c r="B74" t="s">
        <v>411</v>
      </c>
      <c r="C74">
        <v>0.498</v>
      </c>
      <c r="D74">
        <v>0.147</v>
      </c>
      <c r="E74">
        <v>0.05749599</v>
      </c>
      <c r="F74" s="2">
        <v>173</v>
      </c>
      <c r="G74" s="2">
        <v>60</v>
      </c>
      <c r="H74" s="2">
        <v>57</v>
      </c>
      <c r="K74" s="3" t="s">
        <v>190</v>
      </c>
    </row>
    <row r="75" spans="1:11" ht="12">
      <c r="A75" t="s">
        <v>182</v>
      </c>
      <c r="B75" t="s">
        <v>556</v>
      </c>
      <c r="C75">
        <v>4.72</v>
      </c>
      <c r="D75">
        <v>0.244</v>
      </c>
      <c r="E75">
        <v>0.90452947</v>
      </c>
      <c r="F75">
        <v>319</v>
      </c>
      <c r="G75">
        <v>403</v>
      </c>
      <c r="H75">
        <v>71</v>
      </c>
      <c r="I75">
        <v>160</v>
      </c>
      <c r="K75" t="s">
        <v>183</v>
      </c>
    </row>
    <row r="76" spans="1:11" ht="12">
      <c r="A76" t="s">
        <v>494</v>
      </c>
      <c r="B76" t="s">
        <v>556</v>
      </c>
      <c r="C76">
        <v>2.7664</v>
      </c>
      <c r="D76">
        <v>0.3265</v>
      </c>
      <c r="E76">
        <v>0.70939653</v>
      </c>
      <c r="F76">
        <v>233</v>
      </c>
      <c r="G76">
        <v>437.4</v>
      </c>
      <c r="H76">
        <v>58.1</v>
      </c>
      <c r="K76" s="3" t="s">
        <v>495</v>
      </c>
    </row>
    <row r="77" spans="1:11" ht="12">
      <c r="A77" t="s">
        <v>344</v>
      </c>
      <c r="B77" t="s">
        <v>556</v>
      </c>
      <c r="C77">
        <v>4.9</v>
      </c>
      <c r="D77">
        <v>0.142</v>
      </c>
      <c r="E77">
        <v>0.54648132</v>
      </c>
      <c r="F77" s="2">
        <v>146</v>
      </c>
      <c r="G77" s="2">
        <v>130</v>
      </c>
      <c r="H77" s="2">
        <v>62</v>
      </c>
      <c r="I77">
        <v>134</v>
      </c>
      <c r="K77" s="2" t="s">
        <v>345</v>
      </c>
    </row>
    <row r="78" spans="1:11" ht="12">
      <c r="A78" t="s">
        <v>19</v>
      </c>
      <c r="B78" t="s">
        <v>556</v>
      </c>
      <c r="C78">
        <v>3.42</v>
      </c>
      <c r="D78">
        <v>0.525</v>
      </c>
      <c r="E78">
        <v>1.4101857</v>
      </c>
      <c r="F78">
        <v>233</v>
      </c>
      <c r="G78">
        <v>300</v>
      </c>
      <c r="H78">
        <v>59</v>
      </c>
      <c r="K78" s="3" t="s">
        <v>20</v>
      </c>
    </row>
    <row r="79" spans="1:11" ht="12">
      <c r="A79" t="s">
        <v>555</v>
      </c>
      <c r="B79" t="s">
        <v>556</v>
      </c>
      <c r="C79">
        <f>(2.57+3.29)/2</f>
        <v>2.9299999999999997</v>
      </c>
      <c r="D79">
        <f>(1.06+1.38)/2</f>
        <v>1.22</v>
      </c>
      <c r="E79">
        <v>2.80749084</v>
      </c>
      <c r="F79" s="2">
        <v>196</v>
      </c>
      <c r="G79" s="2">
        <v>303</v>
      </c>
      <c r="H79" s="2">
        <f>(102+114)/2</f>
        <v>108</v>
      </c>
      <c r="I79">
        <f>(258+330)/2</f>
        <v>294</v>
      </c>
      <c r="K79" s="2" t="s">
        <v>557</v>
      </c>
    </row>
    <row r="80" spans="1:11" ht="12">
      <c r="A80" t="s">
        <v>160</v>
      </c>
      <c r="B80" t="s">
        <v>556</v>
      </c>
      <c r="C80">
        <f>(1.65+4.2)/2</f>
        <v>2.925</v>
      </c>
      <c r="D80">
        <f>(0.335+0.42)/2</f>
        <v>0.3775</v>
      </c>
      <c r="E80">
        <v>0.86722886</v>
      </c>
      <c r="F80" s="2">
        <v>150</v>
      </c>
      <c r="G80" s="2">
        <v>215</v>
      </c>
      <c r="H80" s="2">
        <f>(60+74)/2</f>
        <v>67</v>
      </c>
      <c r="I80">
        <f>(111+150)/2</f>
        <v>130.5</v>
      </c>
      <c r="K80" s="2" t="s">
        <v>341</v>
      </c>
    </row>
    <row r="81" spans="1:11" ht="12">
      <c r="A81" t="s">
        <v>342</v>
      </c>
      <c r="B81" t="s">
        <v>556</v>
      </c>
      <c r="C81">
        <v>5.7</v>
      </c>
      <c r="D81">
        <v>1.9</v>
      </c>
      <c r="E81">
        <v>8.505882</v>
      </c>
      <c r="F81" s="2">
        <v>582</v>
      </c>
      <c r="G81" s="2"/>
      <c r="H81" s="2">
        <v>192</v>
      </c>
      <c r="I81">
        <v>402</v>
      </c>
      <c r="K81" s="2" t="s">
        <v>343</v>
      </c>
    </row>
    <row r="82" spans="1:11" ht="12">
      <c r="A82" t="s">
        <v>149</v>
      </c>
      <c r="B82" t="s">
        <v>556</v>
      </c>
      <c r="C82">
        <v>3.68</v>
      </c>
      <c r="D82">
        <v>1.08</v>
      </c>
      <c r="E82">
        <v>3.12149376</v>
      </c>
      <c r="F82" s="2">
        <v>250</v>
      </c>
      <c r="G82" s="2">
        <v>490</v>
      </c>
      <c r="H82" s="2">
        <v>110</v>
      </c>
      <c r="I82">
        <v>240</v>
      </c>
      <c r="K82" s="2" t="s">
        <v>150</v>
      </c>
    </row>
    <row r="83" spans="1:11" ht="12">
      <c r="A83" t="s">
        <v>202</v>
      </c>
      <c r="B83" t="s">
        <v>233</v>
      </c>
      <c r="C83">
        <v>6.1</v>
      </c>
      <c r="D83">
        <v>0.42</v>
      </c>
      <c r="E83">
        <v>2.0121948</v>
      </c>
      <c r="F83" s="2">
        <v>370</v>
      </c>
      <c r="G83" s="2">
        <v>300</v>
      </c>
      <c r="H83" s="2">
        <v>80</v>
      </c>
      <c r="I83">
        <v>200</v>
      </c>
      <c r="K83" s="2" t="s">
        <v>200</v>
      </c>
    </row>
    <row r="84" spans="1:11" ht="12">
      <c r="A84" t="s">
        <v>570</v>
      </c>
      <c r="B84" t="s">
        <v>233</v>
      </c>
      <c r="C84">
        <f>(1.53+2.38)/2</f>
        <v>1.955</v>
      </c>
      <c r="D84">
        <f>(0.14+0.18)/2</f>
        <v>0.16</v>
      </c>
      <c r="E84">
        <v>0.24567312</v>
      </c>
      <c r="F84" s="2">
        <v>120</v>
      </c>
      <c r="G84" s="2">
        <v>150</v>
      </c>
      <c r="H84" s="2">
        <v>30</v>
      </c>
      <c r="K84" s="2" t="s">
        <v>200</v>
      </c>
    </row>
    <row r="85" spans="1:11" ht="12">
      <c r="A85" t="s">
        <v>571</v>
      </c>
      <c r="B85" t="s">
        <v>233</v>
      </c>
      <c r="C85">
        <f>(3.2+3.8)/2</f>
        <v>3.5</v>
      </c>
      <c r="D85">
        <f>(0.2+0.24)/2</f>
        <v>0.22</v>
      </c>
      <c r="E85">
        <v>0.604758</v>
      </c>
      <c r="F85" s="2">
        <v>120</v>
      </c>
      <c r="G85" s="2">
        <v>160</v>
      </c>
      <c r="H85" s="2">
        <v>30</v>
      </c>
      <c r="K85" s="2" t="s">
        <v>200</v>
      </c>
    </row>
    <row r="86" spans="1:11" ht="12">
      <c r="A86" t="s">
        <v>572</v>
      </c>
      <c r="B86" t="s">
        <v>233</v>
      </c>
      <c r="C86">
        <f>(3.3+3.5)/2</f>
        <v>3.4</v>
      </c>
      <c r="D86">
        <v>0.32</v>
      </c>
      <c r="E86">
        <v>0.8545152</v>
      </c>
      <c r="F86" s="2">
        <v>120</v>
      </c>
      <c r="G86" s="2">
        <v>240</v>
      </c>
      <c r="H86" s="2">
        <v>60</v>
      </c>
      <c r="K86" s="2" t="s">
        <v>200</v>
      </c>
    </row>
    <row r="87" spans="1:11" ht="12">
      <c r="A87" t="s">
        <v>389</v>
      </c>
      <c r="B87" t="s">
        <v>233</v>
      </c>
      <c r="C87">
        <f>(6.8+9)/2</f>
        <v>7.9</v>
      </c>
      <c r="D87">
        <f>(1.1+1.2)/2</f>
        <v>1.15</v>
      </c>
      <c r="E87">
        <v>7.135359</v>
      </c>
      <c r="F87" s="2">
        <v>550</v>
      </c>
      <c r="G87" s="2">
        <v>840</v>
      </c>
      <c r="H87" s="2">
        <v>160</v>
      </c>
      <c r="K87" s="2" t="s">
        <v>198</v>
      </c>
    </row>
    <row r="88" spans="1:11" ht="12">
      <c r="A88" t="s">
        <v>232</v>
      </c>
      <c r="B88" t="s">
        <v>233</v>
      </c>
      <c r="C88">
        <v>6.06</v>
      </c>
      <c r="D88">
        <v>0.35</v>
      </c>
      <c r="E88">
        <v>1.6658334</v>
      </c>
      <c r="F88" s="2">
        <v>190</v>
      </c>
      <c r="G88" s="2">
        <v>190</v>
      </c>
      <c r="H88">
        <v>53</v>
      </c>
      <c r="I88">
        <v>278</v>
      </c>
      <c r="K88" t="s">
        <v>234</v>
      </c>
    </row>
    <row r="89" spans="1:11" ht="12">
      <c r="A89" t="s">
        <v>197</v>
      </c>
      <c r="B89" t="s">
        <v>233</v>
      </c>
      <c r="C89">
        <f>(2.3+2.7)/2</f>
        <v>2.5</v>
      </c>
      <c r="D89">
        <f>(0.69+0.74)/2</f>
        <v>0.715</v>
      </c>
      <c r="E89">
        <v>1.4039025</v>
      </c>
      <c r="F89" s="2">
        <v>220</v>
      </c>
      <c r="G89" s="2">
        <v>330</v>
      </c>
      <c r="H89" s="2">
        <v>60</v>
      </c>
      <c r="K89" s="2" t="s">
        <v>198</v>
      </c>
    </row>
    <row r="90" spans="1:11" ht="12">
      <c r="A90" t="s">
        <v>199</v>
      </c>
      <c r="B90" t="s">
        <v>233</v>
      </c>
      <c r="C90">
        <f>(3.2+4.5)/2</f>
        <v>3.85</v>
      </c>
      <c r="D90">
        <f>(0.28+0.34)/2</f>
        <v>0.31000000000000005</v>
      </c>
      <c r="E90">
        <v>0.9373749</v>
      </c>
      <c r="F90" s="2">
        <v>150</v>
      </c>
      <c r="G90" s="2">
        <v>240</v>
      </c>
      <c r="H90" s="2">
        <v>90</v>
      </c>
      <c r="K90" s="2" t="s">
        <v>200</v>
      </c>
    </row>
    <row r="91" spans="1:11" ht="12">
      <c r="A91" t="s">
        <v>203</v>
      </c>
      <c r="B91" t="s">
        <v>233</v>
      </c>
      <c r="C91">
        <f>(3.4+3.6)/2</f>
        <v>3.5</v>
      </c>
      <c r="D91">
        <f>(0.72+0.86)/2</f>
        <v>0.79</v>
      </c>
      <c r="E91">
        <v>2.171631</v>
      </c>
      <c r="F91" s="2">
        <v>260</v>
      </c>
      <c r="G91" s="2">
        <v>370</v>
      </c>
      <c r="H91" s="2">
        <v>120</v>
      </c>
      <c r="K91" s="2" t="s">
        <v>200</v>
      </c>
    </row>
    <row r="92" spans="1:11" ht="12">
      <c r="A92" t="s">
        <v>201</v>
      </c>
      <c r="B92" t="s">
        <v>233</v>
      </c>
      <c r="C92">
        <f>(2.3+3.6)/2</f>
        <v>2.95</v>
      </c>
      <c r="D92">
        <f>(0.29+0.34)/2</f>
        <v>0.315</v>
      </c>
      <c r="E92">
        <v>0.72983295</v>
      </c>
      <c r="F92" s="2">
        <v>160</v>
      </c>
      <c r="G92" s="2">
        <v>290</v>
      </c>
      <c r="H92" s="2">
        <v>80</v>
      </c>
      <c r="K92" s="2" t="s">
        <v>200</v>
      </c>
    </row>
    <row r="93" spans="1:11" ht="12">
      <c r="A93" t="s">
        <v>388</v>
      </c>
      <c r="B93" t="s">
        <v>233</v>
      </c>
      <c r="C93">
        <f>(3.6+4)/2</f>
        <v>3.8</v>
      </c>
      <c r="D93">
        <f>(0.9+1.15)/2</f>
        <v>1.025</v>
      </c>
      <c r="E93">
        <v>3.059133</v>
      </c>
      <c r="F93" s="2">
        <v>300</v>
      </c>
      <c r="G93" s="2">
        <v>570</v>
      </c>
      <c r="H93" s="2">
        <v>90</v>
      </c>
      <c r="K93" s="2" t="s">
        <v>200</v>
      </c>
    </row>
    <row r="94" spans="1:11" ht="12">
      <c r="A94" t="s">
        <v>386</v>
      </c>
      <c r="B94" t="s">
        <v>233</v>
      </c>
      <c r="C94">
        <f>(1.72+2.23)/2</f>
        <v>1.975</v>
      </c>
      <c r="D94">
        <v>0.35</v>
      </c>
      <c r="E94">
        <v>0.54290775</v>
      </c>
      <c r="F94" s="2">
        <v>470</v>
      </c>
      <c r="G94" s="2">
        <v>670</v>
      </c>
      <c r="H94" s="2">
        <f>(70+120)/2</f>
        <v>95</v>
      </c>
      <c r="K94" s="2" t="s">
        <v>200</v>
      </c>
    </row>
    <row r="95" spans="1:11" ht="12">
      <c r="A95" t="s">
        <v>387</v>
      </c>
      <c r="B95" t="s">
        <v>233</v>
      </c>
      <c r="C95">
        <f>(3.2+5.1)/2</f>
        <v>4.15</v>
      </c>
      <c r="D95">
        <f>(1.07+1.46)/2</f>
        <v>1.2650000000000001</v>
      </c>
      <c r="E95">
        <v>4.12315365</v>
      </c>
      <c r="F95" s="2">
        <v>390</v>
      </c>
      <c r="G95" s="2">
        <v>620</v>
      </c>
      <c r="H95" s="2">
        <v>115</v>
      </c>
      <c r="K95" s="2" t="s">
        <v>200</v>
      </c>
    </row>
    <row r="96" spans="1:11" ht="12">
      <c r="A96" t="s">
        <v>385</v>
      </c>
      <c r="B96" t="s">
        <v>233</v>
      </c>
      <c r="C96">
        <f>(3.86+4.43)/2</f>
        <v>4.145</v>
      </c>
      <c r="D96">
        <f>(0.93+1.23)/2</f>
        <v>1.08</v>
      </c>
      <c r="E96">
        <v>3.51592164</v>
      </c>
      <c r="F96" s="2">
        <v>340</v>
      </c>
      <c r="G96" s="2">
        <v>620</v>
      </c>
      <c r="H96" s="2">
        <v>170</v>
      </c>
      <c r="K96" s="2" t="s">
        <v>200</v>
      </c>
    </row>
    <row r="97" spans="1:11" ht="12">
      <c r="A97" t="s">
        <v>321</v>
      </c>
      <c r="B97" t="s">
        <v>237</v>
      </c>
      <c r="C97">
        <v>4.09</v>
      </c>
      <c r="D97">
        <v>0.83</v>
      </c>
      <c r="E97">
        <v>2.66619738</v>
      </c>
      <c r="F97">
        <v>149</v>
      </c>
      <c r="G97">
        <v>473</v>
      </c>
      <c r="H97">
        <v>113</v>
      </c>
      <c r="I97">
        <v>825</v>
      </c>
      <c r="K97" s="2" t="s">
        <v>320</v>
      </c>
    </row>
    <row r="98" spans="1:11" ht="12">
      <c r="A98" t="s">
        <v>474</v>
      </c>
      <c r="B98" t="s">
        <v>237</v>
      </c>
      <c r="C98">
        <v>22</v>
      </c>
      <c r="D98">
        <v>0.75</v>
      </c>
      <c r="E98">
        <v>12.9591</v>
      </c>
      <c r="F98" s="2">
        <v>150</v>
      </c>
      <c r="G98" s="2">
        <v>350</v>
      </c>
      <c r="H98" s="2">
        <v>100</v>
      </c>
      <c r="I98">
        <v>1400</v>
      </c>
      <c r="J98">
        <v>63</v>
      </c>
      <c r="K98" s="2" t="s">
        <v>475</v>
      </c>
    </row>
    <row r="99" spans="1:11" ht="12">
      <c r="A99" t="s">
        <v>376</v>
      </c>
      <c r="B99" t="s">
        <v>237</v>
      </c>
      <c r="C99">
        <v>3.85</v>
      </c>
      <c r="D99">
        <v>0.719</v>
      </c>
      <c r="E99">
        <v>2.17410501</v>
      </c>
      <c r="F99">
        <v>147</v>
      </c>
      <c r="G99">
        <v>310</v>
      </c>
      <c r="H99">
        <v>197</v>
      </c>
      <c r="J99">
        <v>29</v>
      </c>
      <c r="K99" s="3" t="s">
        <v>374</v>
      </c>
    </row>
    <row r="100" spans="1:11" ht="12">
      <c r="A100" t="s">
        <v>362</v>
      </c>
      <c r="B100" t="s">
        <v>237</v>
      </c>
      <c r="C100">
        <f>(0.17+0.37)/2</f>
        <v>0.27</v>
      </c>
      <c r="D100">
        <f>(0.08+0.15)/2</f>
        <v>0.11499999999999999</v>
      </c>
      <c r="E100">
        <v>0.02438667</v>
      </c>
      <c r="F100">
        <v>45.5</v>
      </c>
      <c r="G100">
        <v>55.6</v>
      </c>
      <c r="H100">
        <v>22.1</v>
      </c>
      <c r="J100">
        <v>33</v>
      </c>
      <c r="K100" t="s">
        <v>181</v>
      </c>
    </row>
    <row r="101" spans="1:11" ht="12">
      <c r="A101" t="s">
        <v>1</v>
      </c>
      <c r="B101" t="s">
        <v>237</v>
      </c>
      <c r="C101">
        <v>4.665</v>
      </c>
      <c r="D101">
        <v>1.108</v>
      </c>
      <c r="E101">
        <v>4.05959123</v>
      </c>
      <c r="F101">
        <v>284</v>
      </c>
      <c r="G101">
        <v>938</v>
      </c>
      <c r="H101">
        <v>264</v>
      </c>
      <c r="I101">
        <v>408</v>
      </c>
      <c r="J101">
        <v>27</v>
      </c>
      <c r="K101" s="3" t="s">
        <v>0</v>
      </c>
    </row>
    <row r="102" spans="1:11" ht="12">
      <c r="A102" t="s">
        <v>397</v>
      </c>
      <c r="B102" t="s">
        <v>237</v>
      </c>
      <c r="C102">
        <v>2.47</v>
      </c>
      <c r="D102">
        <v>0.42</v>
      </c>
      <c r="E102">
        <v>0.81477396</v>
      </c>
      <c r="F102" s="2">
        <v>104</v>
      </c>
      <c r="G102" s="2">
        <v>370</v>
      </c>
      <c r="H102" s="2">
        <v>75</v>
      </c>
      <c r="J102">
        <v>41</v>
      </c>
      <c r="K102" s="3" t="s">
        <v>398</v>
      </c>
    </row>
    <row r="103" spans="1:11" ht="12">
      <c r="A103" t="s">
        <v>518</v>
      </c>
      <c r="B103" t="s">
        <v>237</v>
      </c>
      <c r="C103">
        <v>9.056</v>
      </c>
      <c r="D103">
        <v>1.256</v>
      </c>
      <c r="E103">
        <v>8.93340349</v>
      </c>
      <c r="F103">
        <v>263</v>
      </c>
      <c r="G103">
        <v>714</v>
      </c>
      <c r="H103">
        <v>221</v>
      </c>
      <c r="I103">
        <v>426</v>
      </c>
      <c r="J103">
        <v>37</v>
      </c>
      <c r="K103" s="3" t="s">
        <v>519</v>
      </c>
    </row>
    <row r="104" spans="1:11" ht="12">
      <c r="A104" t="s">
        <v>484</v>
      </c>
      <c r="B104" t="s">
        <v>237</v>
      </c>
      <c r="C104">
        <f>(7.111+9.333)/2</f>
        <v>8.222</v>
      </c>
      <c r="D104">
        <f>(1.666+2.222)/2</f>
        <v>1.944</v>
      </c>
      <c r="E104">
        <v>12.5534943</v>
      </c>
      <c r="F104">
        <v>333</v>
      </c>
      <c r="G104">
        <v>1111</v>
      </c>
      <c r="H104">
        <f>(222+389)/2</f>
        <v>305.5</v>
      </c>
      <c r="J104">
        <v>37</v>
      </c>
      <c r="K104" s="3" t="s">
        <v>485</v>
      </c>
    </row>
    <row r="105" spans="1:11" ht="12">
      <c r="A105" t="s">
        <v>514</v>
      </c>
      <c r="B105" t="s">
        <v>237</v>
      </c>
      <c r="C105">
        <v>9.99</v>
      </c>
      <c r="D105">
        <v>1.305</v>
      </c>
      <c r="E105">
        <v>10.2392205</v>
      </c>
      <c r="F105">
        <v>305</v>
      </c>
      <c r="G105">
        <v>738</v>
      </c>
      <c r="H105">
        <v>299</v>
      </c>
      <c r="I105">
        <v>506</v>
      </c>
      <c r="J105">
        <v>37</v>
      </c>
      <c r="K105" s="3" t="s">
        <v>515</v>
      </c>
    </row>
    <row r="106" spans="1:11" ht="12">
      <c r="A106" t="s">
        <v>558</v>
      </c>
      <c r="B106" t="s">
        <v>237</v>
      </c>
      <c r="C106">
        <f>(6.832+7.632)/2</f>
        <v>7.231999999999999</v>
      </c>
      <c r="D106">
        <f>(0.984+1.28)/2</f>
        <v>1.1320000000000001</v>
      </c>
      <c r="E106">
        <v>6.42977449</v>
      </c>
      <c r="F106" s="2">
        <v>256</v>
      </c>
      <c r="G106" s="2">
        <v>608</v>
      </c>
      <c r="H106" s="2">
        <v>188</v>
      </c>
      <c r="I106">
        <v>320</v>
      </c>
      <c r="J106">
        <v>37</v>
      </c>
      <c r="K106" s="2" t="s">
        <v>559</v>
      </c>
    </row>
    <row r="107" spans="1:11" ht="12">
      <c r="A107" t="s">
        <v>430</v>
      </c>
      <c r="B107" t="s">
        <v>237</v>
      </c>
      <c r="C107">
        <v>4.598</v>
      </c>
      <c r="D107">
        <v>0.802</v>
      </c>
      <c r="E107">
        <v>2.8962379</v>
      </c>
      <c r="F107">
        <v>153</v>
      </c>
      <c r="G107">
        <v>489</v>
      </c>
      <c r="H107">
        <v>151</v>
      </c>
      <c r="I107">
        <v>460</v>
      </c>
      <c r="J107">
        <v>45</v>
      </c>
      <c r="K107" s="3" t="s">
        <v>431</v>
      </c>
    </row>
    <row r="108" spans="1:11" ht="12">
      <c r="A108" t="s">
        <v>490</v>
      </c>
      <c r="B108" t="s">
        <v>237</v>
      </c>
      <c r="C108">
        <v>3.87</v>
      </c>
      <c r="D108">
        <v>0.326</v>
      </c>
      <c r="E108">
        <v>0.99087635</v>
      </c>
      <c r="F108">
        <v>110</v>
      </c>
      <c r="G108">
        <v>320</v>
      </c>
      <c r="H108">
        <v>96</v>
      </c>
      <c r="I108">
        <v>880</v>
      </c>
      <c r="J108">
        <v>29</v>
      </c>
      <c r="K108" s="3" t="s">
        <v>491</v>
      </c>
    </row>
    <row r="109" spans="1:11" ht="12">
      <c r="A109" t="s">
        <v>85</v>
      </c>
      <c r="B109" t="s">
        <v>237</v>
      </c>
      <c r="C109">
        <v>21.8</v>
      </c>
      <c r="D109">
        <v>0.3894</v>
      </c>
      <c r="E109">
        <v>6.66719777</v>
      </c>
      <c r="F109">
        <v>104</v>
      </c>
      <c r="G109">
        <v>372</v>
      </c>
      <c r="H109">
        <v>89.8</v>
      </c>
      <c r="J109">
        <v>35</v>
      </c>
      <c r="K109" s="3" t="s">
        <v>86</v>
      </c>
    </row>
    <row r="110" spans="1:11" ht="12">
      <c r="A110" t="s">
        <v>441</v>
      </c>
      <c r="B110" t="s">
        <v>237</v>
      </c>
      <c r="C110">
        <f>(2+5.4)/2</f>
        <v>3.7</v>
      </c>
      <c r="D110">
        <f>(0.3+0.41)/2</f>
        <v>0.355</v>
      </c>
      <c r="E110">
        <v>1.0316229</v>
      </c>
      <c r="F110" s="2">
        <v>110</v>
      </c>
      <c r="G110" s="2">
        <v>250</v>
      </c>
      <c r="H110" s="2">
        <f>(70+90)/2</f>
        <v>80</v>
      </c>
      <c r="J110">
        <v>29</v>
      </c>
      <c r="K110" s="2" t="s">
        <v>442</v>
      </c>
    </row>
    <row r="111" spans="1:11" ht="12">
      <c r="A111" t="s">
        <v>574</v>
      </c>
      <c r="B111" t="s">
        <v>237</v>
      </c>
      <c r="C111">
        <v>17.383</v>
      </c>
      <c r="D111">
        <v>0.633</v>
      </c>
      <c r="E111">
        <v>8.64210099</v>
      </c>
      <c r="F111" s="2">
        <v>183</v>
      </c>
      <c r="G111" s="2">
        <v>394</v>
      </c>
      <c r="H111" s="2">
        <v>126</v>
      </c>
      <c r="I111" s="2">
        <v>1067</v>
      </c>
      <c r="J111" s="2">
        <v>36</v>
      </c>
      <c r="K111" s="3" t="s">
        <v>575</v>
      </c>
    </row>
    <row r="112" spans="1:11" ht="12">
      <c r="A112" t="s">
        <v>105</v>
      </c>
      <c r="B112" t="s">
        <v>237</v>
      </c>
      <c r="C112">
        <v>4.043</v>
      </c>
      <c r="D112">
        <v>0.869</v>
      </c>
      <c r="E112">
        <v>2.75939844</v>
      </c>
      <c r="F112">
        <v>159</v>
      </c>
      <c r="G112">
        <v>464</v>
      </c>
      <c r="H112">
        <v>217</v>
      </c>
      <c r="I112">
        <v>406</v>
      </c>
      <c r="J112">
        <v>27</v>
      </c>
      <c r="K112" s="3" t="s">
        <v>103</v>
      </c>
    </row>
    <row r="113" spans="1:11" ht="12">
      <c r="A113" t="s">
        <v>104</v>
      </c>
      <c r="B113" t="s">
        <v>237</v>
      </c>
      <c r="C113">
        <v>5.577</v>
      </c>
      <c r="D113">
        <v>1.203</v>
      </c>
      <c r="E113">
        <v>5.26935149</v>
      </c>
      <c r="F113">
        <v>228</v>
      </c>
      <c r="G113">
        <v>676</v>
      </c>
      <c r="H113">
        <v>221</v>
      </c>
      <c r="I113">
        <v>462</v>
      </c>
      <c r="J113">
        <v>27</v>
      </c>
      <c r="K113" s="3" t="s">
        <v>103</v>
      </c>
    </row>
    <row r="114" spans="1:11" ht="12">
      <c r="A114" t="s">
        <v>280</v>
      </c>
      <c r="B114" t="s">
        <v>237</v>
      </c>
      <c r="C114">
        <v>4.1</v>
      </c>
      <c r="D114">
        <v>0.226</v>
      </c>
      <c r="E114">
        <v>0.72775164</v>
      </c>
      <c r="F114" s="2">
        <v>66</v>
      </c>
      <c r="G114" s="2">
        <v>190</v>
      </c>
      <c r="H114" s="2">
        <v>41</v>
      </c>
      <c r="I114">
        <v>200</v>
      </c>
      <c r="J114">
        <v>35</v>
      </c>
      <c r="K114" s="2" t="s">
        <v>281</v>
      </c>
    </row>
    <row r="115" spans="1:11" ht="12">
      <c r="A115" t="s">
        <v>488</v>
      </c>
      <c r="B115" t="s">
        <v>237</v>
      </c>
      <c r="C115">
        <v>9.2</v>
      </c>
      <c r="D115">
        <f>(2.4+2.7)/2</f>
        <v>2.55</v>
      </c>
      <c r="E115">
        <v>18.425484</v>
      </c>
      <c r="F115">
        <v>281</v>
      </c>
      <c r="H115">
        <v>253</v>
      </c>
      <c r="I115">
        <v>633</v>
      </c>
      <c r="K115" s="3" t="s">
        <v>489</v>
      </c>
    </row>
    <row r="116" spans="1:11" ht="12">
      <c r="A116" t="s">
        <v>319</v>
      </c>
      <c r="B116" t="s">
        <v>237</v>
      </c>
      <c r="C116">
        <v>11.45</v>
      </c>
      <c r="D116">
        <v>2.9</v>
      </c>
      <c r="E116">
        <v>26.079207</v>
      </c>
      <c r="F116">
        <v>215</v>
      </c>
      <c r="H116">
        <v>215</v>
      </c>
      <c r="I116">
        <v>650</v>
      </c>
      <c r="K116" t="s">
        <v>359</v>
      </c>
    </row>
    <row r="117" spans="1:11" ht="12">
      <c r="A117" t="s">
        <v>2</v>
      </c>
      <c r="B117" t="s">
        <v>237</v>
      </c>
      <c r="C117">
        <v>3.296</v>
      </c>
      <c r="D117">
        <v>0.664</v>
      </c>
      <c r="E117">
        <v>1.71888246</v>
      </c>
      <c r="F117">
        <v>150</v>
      </c>
      <c r="G117">
        <v>419</v>
      </c>
      <c r="H117">
        <v>137</v>
      </c>
      <c r="I117">
        <v>304</v>
      </c>
      <c r="J117">
        <v>27</v>
      </c>
      <c r="K117" s="3" t="s">
        <v>0</v>
      </c>
    </row>
    <row r="118" spans="1:11" ht="12">
      <c r="A118" t="s">
        <v>576</v>
      </c>
      <c r="B118" t="s">
        <v>237</v>
      </c>
      <c r="C118">
        <v>8.684</v>
      </c>
      <c r="D118">
        <v>0.346</v>
      </c>
      <c r="E118">
        <v>2.35986311</v>
      </c>
      <c r="F118" s="2">
        <v>197</v>
      </c>
      <c r="G118" s="2">
        <v>387</v>
      </c>
      <c r="H118" s="2">
        <v>85</v>
      </c>
      <c r="I118" s="2">
        <v>1829</v>
      </c>
      <c r="J118" s="2">
        <v>32</v>
      </c>
      <c r="K118" s="3" t="s">
        <v>575</v>
      </c>
    </row>
    <row r="119" spans="1:11" ht="12">
      <c r="A119" t="s">
        <v>236</v>
      </c>
      <c r="B119" t="s">
        <v>237</v>
      </c>
      <c r="C119">
        <v>1.6</v>
      </c>
      <c r="D119">
        <v>0.533</v>
      </c>
      <c r="E119">
        <v>0.66978912</v>
      </c>
      <c r="F119" s="2">
        <v>100</v>
      </c>
      <c r="G119" s="2"/>
      <c r="K119" t="s">
        <v>235</v>
      </c>
    </row>
    <row r="120" spans="1:11" ht="12">
      <c r="A120" t="s">
        <v>73</v>
      </c>
      <c r="B120" t="s">
        <v>237</v>
      </c>
      <c r="C120">
        <v>1.611</v>
      </c>
      <c r="D120">
        <v>0.455</v>
      </c>
      <c r="E120">
        <v>0.57570213</v>
      </c>
      <c r="F120">
        <v>114</v>
      </c>
      <c r="G120">
        <v>282</v>
      </c>
      <c r="H120">
        <v>86</v>
      </c>
      <c r="I120">
        <v>238</v>
      </c>
      <c r="J120">
        <v>19</v>
      </c>
      <c r="K120" s="3" t="s">
        <v>72</v>
      </c>
    </row>
    <row r="121" spans="1:11" ht="12">
      <c r="A121" t="s">
        <v>432</v>
      </c>
      <c r="B121" t="s">
        <v>237</v>
      </c>
      <c r="C121">
        <v>1.563</v>
      </c>
      <c r="D121">
        <v>0.47</v>
      </c>
      <c r="E121">
        <v>0.57696269</v>
      </c>
      <c r="F121">
        <v>91</v>
      </c>
      <c r="G121">
        <v>275</v>
      </c>
      <c r="H121">
        <v>68</v>
      </c>
      <c r="I121">
        <v>263</v>
      </c>
      <c r="J121">
        <v>19</v>
      </c>
      <c r="K121" s="3" t="s">
        <v>630</v>
      </c>
    </row>
    <row r="122" spans="1:11" ht="12">
      <c r="A122" t="s">
        <v>74</v>
      </c>
      <c r="B122" t="s">
        <v>237</v>
      </c>
      <c r="C122">
        <v>1.534</v>
      </c>
      <c r="D122">
        <v>0.599</v>
      </c>
      <c r="E122">
        <v>0.72167736</v>
      </c>
      <c r="F122">
        <v>106</v>
      </c>
      <c r="G122">
        <v>258</v>
      </c>
      <c r="H122">
        <v>80</v>
      </c>
      <c r="I122">
        <v>274</v>
      </c>
      <c r="J122">
        <v>19</v>
      </c>
      <c r="K122" s="3" t="s">
        <v>72</v>
      </c>
    </row>
    <row r="123" spans="1:11" ht="12">
      <c r="A123" t="s">
        <v>241</v>
      </c>
      <c r="B123" t="s">
        <v>237</v>
      </c>
      <c r="C123">
        <v>7.42</v>
      </c>
      <c r="D123">
        <v>2.09</v>
      </c>
      <c r="E123">
        <v>12.1798261</v>
      </c>
      <c r="F123" s="2">
        <v>270</v>
      </c>
      <c r="G123" s="2">
        <v>960</v>
      </c>
      <c r="H123" s="2">
        <v>255</v>
      </c>
      <c r="I123">
        <v>375</v>
      </c>
      <c r="J123">
        <v>23</v>
      </c>
      <c r="K123" t="s">
        <v>250</v>
      </c>
    </row>
    <row r="124" spans="1:11" ht="12">
      <c r="A124" t="s">
        <v>375</v>
      </c>
      <c r="B124" t="s">
        <v>237</v>
      </c>
      <c r="C124">
        <v>8.712</v>
      </c>
      <c r="D124">
        <v>2.686</v>
      </c>
      <c r="E124">
        <v>18.3786993</v>
      </c>
      <c r="F124">
        <v>402</v>
      </c>
      <c r="G124">
        <v>472</v>
      </c>
      <c r="H124">
        <v>227</v>
      </c>
      <c r="I124">
        <v>331</v>
      </c>
      <c r="J124">
        <v>31</v>
      </c>
      <c r="K124" s="3" t="s">
        <v>374</v>
      </c>
    </row>
    <row r="125" spans="1:11" ht="12">
      <c r="A125" t="s">
        <v>381</v>
      </c>
      <c r="B125" t="s">
        <v>237</v>
      </c>
      <c r="C125">
        <v>2.377</v>
      </c>
      <c r="D125">
        <v>0.717</v>
      </c>
      <c r="E125">
        <v>1.33856429</v>
      </c>
      <c r="F125">
        <v>105</v>
      </c>
      <c r="G125">
        <v>342</v>
      </c>
      <c r="H125">
        <v>124</v>
      </c>
      <c r="I125">
        <v>304</v>
      </c>
      <c r="J125">
        <v>24</v>
      </c>
      <c r="K125" s="3" t="s">
        <v>382</v>
      </c>
    </row>
    <row r="126" spans="1:11" ht="12">
      <c r="A126" t="s">
        <v>540</v>
      </c>
      <c r="B126" t="s">
        <v>504</v>
      </c>
      <c r="C126">
        <v>8.5</v>
      </c>
      <c r="D126">
        <v>1.9</v>
      </c>
      <c r="E126">
        <v>12.68421</v>
      </c>
      <c r="F126" s="2">
        <v>750</v>
      </c>
      <c r="G126" s="2">
        <v>680</v>
      </c>
      <c r="H126" s="2">
        <v>283</v>
      </c>
      <c r="I126">
        <v>375</v>
      </c>
      <c r="K126" s="3" t="s">
        <v>541</v>
      </c>
    </row>
    <row r="127" spans="1:11" ht="12">
      <c r="A127" t="s">
        <v>106</v>
      </c>
      <c r="B127" t="s">
        <v>504</v>
      </c>
      <c r="C127">
        <f>(0.75+0.87)/2</f>
        <v>0.81</v>
      </c>
      <c r="D127">
        <f>(0.44+0.59)/2</f>
        <v>0.515</v>
      </c>
      <c r="E127">
        <v>0.32762961</v>
      </c>
      <c r="F127" s="2">
        <v>125</v>
      </c>
      <c r="G127" s="2">
        <v>75</v>
      </c>
      <c r="H127" s="2">
        <v>44</v>
      </c>
      <c r="I127">
        <f>(140+175)/2</f>
        <v>157.5</v>
      </c>
      <c r="K127" s="2" t="s">
        <v>283</v>
      </c>
    </row>
    <row r="128" spans="1:11" ht="12">
      <c r="A128" t="s">
        <v>108</v>
      </c>
      <c r="B128" t="s">
        <v>504</v>
      </c>
      <c r="C128">
        <f>(1.12+1.19)/2</f>
        <v>1.155</v>
      </c>
      <c r="D128">
        <f>(0.61+0.69)/2</f>
        <v>0.6499999999999999</v>
      </c>
      <c r="E128">
        <v>0.58963905</v>
      </c>
      <c r="F128" s="2">
        <v>116</v>
      </c>
      <c r="G128" s="2">
        <v>87</v>
      </c>
      <c r="H128" s="2">
        <f>(47+53)/2</f>
        <v>50</v>
      </c>
      <c r="K128" s="2" t="s">
        <v>283</v>
      </c>
    </row>
    <row r="129" spans="1:11" ht="12">
      <c r="A129" t="s">
        <v>107</v>
      </c>
      <c r="B129" t="s">
        <v>504</v>
      </c>
      <c r="C129">
        <f>(0.68+0.92)/2</f>
        <v>0.8</v>
      </c>
      <c r="D129">
        <f>(0.25+0.4)/2</f>
        <v>0.325</v>
      </c>
      <c r="E129">
        <v>0.204204</v>
      </c>
      <c r="F129" s="2">
        <v>143</v>
      </c>
      <c r="G129" s="2">
        <v>108</v>
      </c>
      <c r="H129" s="2">
        <f>(29+41)/2</f>
        <v>35</v>
      </c>
      <c r="K129" s="2" t="s">
        <v>283</v>
      </c>
    </row>
    <row r="130" spans="1:11" ht="12">
      <c r="A130" t="s">
        <v>77</v>
      </c>
      <c r="B130" t="s">
        <v>504</v>
      </c>
      <c r="C130">
        <v>0.54</v>
      </c>
      <c r="D130">
        <v>0.26</v>
      </c>
      <c r="E130">
        <v>0.11027016</v>
      </c>
      <c r="F130">
        <v>138</v>
      </c>
      <c r="G130">
        <v>195</v>
      </c>
      <c r="H130">
        <v>38</v>
      </c>
      <c r="K130" s="3" t="s">
        <v>78</v>
      </c>
    </row>
    <row r="131" spans="1:11" ht="12">
      <c r="A131" t="s">
        <v>282</v>
      </c>
      <c r="B131" t="s">
        <v>504</v>
      </c>
      <c r="C131">
        <f>(2.14+2.58)/2</f>
        <v>2.3600000000000003</v>
      </c>
      <c r="D131">
        <f>(1.03+1.1)/2</f>
        <v>1.065</v>
      </c>
      <c r="E131">
        <v>1.97402436</v>
      </c>
      <c r="F131" s="2">
        <v>243</v>
      </c>
      <c r="G131" s="2">
        <v>280</v>
      </c>
      <c r="H131" s="2">
        <f>(140+164)/2</f>
        <v>152</v>
      </c>
      <c r="I131">
        <f>(408+528)/2</f>
        <v>468</v>
      </c>
      <c r="K131" s="2" t="s">
        <v>283</v>
      </c>
    </row>
    <row r="132" spans="1:11" ht="12">
      <c r="A132" t="s">
        <v>530</v>
      </c>
      <c r="B132" t="s">
        <v>504</v>
      </c>
      <c r="C132">
        <v>1.221</v>
      </c>
      <c r="D132">
        <v>0.564</v>
      </c>
      <c r="E132">
        <v>0.540861</v>
      </c>
      <c r="F132" s="2">
        <v>175</v>
      </c>
      <c r="G132" s="2">
        <v>317</v>
      </c>
      <c r="H132" s="2">
        <v>76</v>
      </c>
      <c r="I132">
        <v>245</v>
      </c>
      <c r="K132" t="s">
        <v>531</v>
      </c>
    </row>
    <row r="133" spans="1:11" ht="12">
      <c r="A133" t="s">
        <v>560</v>
      </c>
      <c r="B133" t="s">
        <v>504</v>
      </c>
      <c r="C133">
        <v>1.27</v>
      </c>
      <c r="D133">
        <v>0.742</v>
      </c>
      <c r="E133">
        <v>0.74011384</v>
      </c>
      <c r="F133" s="2">
        <v>330</v>
      </c>
      <c r="G133" s="2">
        <v>577</v>
      </c>
      <c r="H133" s="2"/>
      <c r="I133">
        <v>346</v>
      </c>
      <c r="K133" s="2" t="s">
        <v>561</v>
      </c>
    </row>
    <row r="134" spans="1:11" ht="12">
      <c r="A134" t="s">
        <v>350</v>
      </c>
      <c r="B134" t="s">
        <v>504</v>
      </c>
      <c r="C134">
        <f>(1.938+3.503)/2</f>
        <v>2.7205</v>
      </c>
      <c r="D134">
        <f>(1.614+2.84)/2</f>
        <v>2.227</v>
      </c>
      <c r="E134">
        <v>4.75838792</v>
      </c>
      <c r="F134" s="2">
        <v>436</v>
      </c>
      <c r="G134" s="2">
        <v>731</v>
      </c>
      <c r="H134" s="2">
        <f>(128+209)/2</f>
        <v>168.5</v>
      </c>
      <c r="K134" s="2" t="s">
        <v>351</v>
      </c>
    </row>
    <row r="135" spans="1:11" ht="12">
      <c r="A135" t="s">
        <v>284</v>
      </c>
      <c r="B135" t="s">
        <v>504</v>
      </c>
      <c r="C135">
        <f>(1.43+1.77)/2</f>
        <v>1.6</v>
      </c>
      <c r="D135">
        <f>(0.68+0.78)/2</f>
        <v>0.73</v>
      </c>
      <c r="E135">
        <v>0.9173472</v>
      </c>
      <c r="F135" s="2">
        <v>180</v>
      </c>
      <c r="G135" s="2">
        <v>218</v>
      </c>
      <c r="H135" s="2">
        <f>(48+60)/2</f>
        <v>54</v>
      </c>
      <c r="I135">
        <f>(312+492)/2</f>
        <v>402</v>
      </c>
      <c r="K135" s="2" t="s">
        <v>283</v>
      </c>
    </row>
    <row r="136" spans="1:11" ht="12">
      <c r="A136" t="s">
        <v>61</v>
      </c>
      <c r="B136" t="s">
        <v>504</v>
      </c>
      <c r="C136">
        <v>2.638</v>
      </c>
      <c r="D136">
        <v>0.898</v>
      </c>
      <c r="E136">
        <v>1.86055291</v>
      </c>
      <c r="F136">
        <v>283</v>
      </c>
      <c r="G136">
        <v>292</v>
      </c>
      <c r="H136">
        <v>99</v>
      </c>
      <c r="I136">
        <v>224</v>
      </c>
      <c r="K136" s="3" t="s">
        <v>57</v>
      </c>
    </row>
    <row r="137" spans="1:11" ht="12">
      <c r="A137" t="s">
        <v>60</v>
      </c>
      <c r="B137" t="s">
        <v>504</v>
      </c>
      <c r="C137">
        <v>2.735</v>
      </c>
      <c r="D137">
        <v>1.232</v>
      </c>
      <c r="E137">
        <v>2.64642101</v>
      </c>
      <c r="F137">
        <v>375</v>
      </c>
      <c r="G137">
        <v>476</v>
      </c>
      <c r="H137">
        <v>131</v>
      </c>
      <c r="I137">
        <v>370</v>
      </c>
      <c r="K137" s="3" t="s">
        <v>57</v>
      </c>
    </row>
    <row r="138" spans="1:11" ht="12">
      <c r="A138" t="s">
        <v>58</v>
      </c>
      <c r="B138" t="s">
        <v>504</v>
      </c>
      <c r="C138">
        <v>3.248</v>
      </c>
      <c r="D138">
        <v>0.876</v>
      </c>
      <c r="E138">
        <v>2.23465778</v>
      </c>
      <c r="F138">
        <v>351</v>
      </c>
      <c r="G138">
        <v>364</v>
      </c>
      <c r="H138">
        <v>166</v>
      </c>
      <c r="I138">
        <v>406</v>
      </c>
      <c r="K138" s="3" t="s">
        <v>57</v>
      </c>
    </row>
    <row r="139" spans="1:11" ht="12">
      <c r="A139" t="s">
        <v>59</v>
      </c>
      <c r="B139" t="s">
        <v>504</v>
      </c>
      <c r="C139">
        <v>3.43</v>
      </c>
      <c r="D139">
        <v>1.438</v>
      </c>
      <c r="E139">
        <v>3.87385984</v>
      </c>
      <c r="F139">
        <v>397</v>
      </c>
      <c r="G139">
        <v>477</v>
      </c>
      <c r="H139">
        <v>149</v>
      </c>
      <c r="I139">
        <v>543</v>
      </c>
      <c r="K139" s="3" t="s">
        <v>57</v>
      </c>
    </row>
    <row r="140" spans="1:11" ht="12">
      <c r="A140" t="s">
        <v>503</v>
      </c>
      <c r="B140" t="s">
        <v>504</v>
      </c>
      <c r="C140">
        <v>6.009</v>
      </c>
      <c r="D140">
        <v>1.934</v>
      </c>
      <c r="E140">
        <v>9.12745227</v>
      </c>
      <c r="F140">
        <v>470</v>
      </c>
      <c r="G140">
        <v>645</v>
      </c>
      <c r="H140">
        <v>199</v>
      </c>
      <c r="I140">
        <v>359</v>
      </c>
      <c r="K140" s="3" t="s">
        <v>505</v>
      </c>
    </row>
    <row r="141" spans="1:11" ht="12">
      <c r="A141" t="s">
        <v>109</v>
      </c>
      <c r="B141" t="s">
        <v>504</v>
      </c>
      <c r="C141">
        <f>(0.76+2.23)/2</f>
        <v>1.495</v>
      </c>
      <c r="D141">
        <f>(0.31+0.8)/2</f>
        <v>0.555</v>
      </c>
      <c r="E141">
        <v>0.65166602</v>
      </c>
      <c r="F141" s="2">
        <v>262</v>
      </c>
      <c r="G141" s="2">
        <v>636</v>
      </c>
      <c r="H141" s="2">
        <f>(24+70)/2</f>
        <v>47</v>
      </c>
      <c r="K141" s="2" t="s">
        <v>283</v>
      </c>
    </row>
    <row r="142" spans="1:11" ht="12">
      <c r="A142" t="s">
        <v>110</v>
      </c>
      <c r="B142" t="s">
        <v>504</v>
      </c>
      <c r="C142">
        <f>(1.69+1.81)/2</f>
        <v>1.75</v>
      </c>
      <c r="D142">
        <f>(0.46+0.54)/2</f>
        <v>0.5</v>
      </c>
      <c r="E142">
        <v>0.687225</v>
      </c>
      <c r="F142" s="2">
        <v>141</v>
      </c>
      <c r="G142" s="2">
        <v>372</v>
      </c>
      <c r="H142" s="2">
        <f>(36+45)/2</f>
        <v>40.5</v>
      </c>
      <c r="K142" s="2" t="s">
        <v>283</v>
      </c>
    </row>
    <row r="143" spans="1:11" ht="12">
      <c r="A143" t="s">
        <v>614</v>
      </c>
      <c r="B143" t="s">
        <v>504</v>
      </c>
      <c r="C143">
        <f>(1.297+1.812)/2</f>
        <v>1.5545</v>
      </c>
      <c r="D143">
        <f>(0.859+1.014)/2</f>
        <v>0.9365</v>
      </c>
      <c r="E143">
        <v>1.14337688</v>
      </c>
      <c r="F143" s="2">
        <v>294</v>
      </c>
      <c r="G143" s="2">
        <v>591</v>
      </c>
      <c r="H143" s="2">
        <v>162</v>
      </c>
      <c r="I143">
        <f>(405+574)/2</f>
        <v>489.5</v>
      </c>
      <c r="K143" s="2" t="s">
        <v>612</v>
      </c>
    </row>
    <row r="144" spans="1:11" ht="12">
      <c r="A144" t="s">
        <v>348</v>
      </c>
      <c r="B144" t="s">
        <v>504</v>
      </c>
      <c r="C144">
        <f>(3.31+11)/2</f>
        <v>7.155</v>
      </c>
      <c r="D144">
        <f>(0.905+2.03)/2</f>
        <v>1.4674999999999998</v>
      </c>
      <c r="E144">
        <v>8.24667055</v>
      </c>
      <c r="F144" s="2">
        <v>450</v>
      </c>
      <c r="G144" s="2">
        <v>320</v>
      </c>
      <c r="H144" s="2">
        <f>(260+300)/2</f>
        <v>280</v>
      </c>
      <c r="I144">
        <v>540</v>
      </c>
      <c r="K144" s="2" t="s">
        <v>349</v>
      </c>
    </row>
    <row r="145" spans="1:11" ht="12">
      <c r="A145" t="s">
        <v>506</v>
      </c>
      <c r="B145" t="s">
        <v>504</v>
      </c>
      <c r="C145">
        <v>3.465</v>
      </c>
      <c r="D145">
        <v>1.269</v>
      </c>
      <c r="E145">
        <v>3.45347056</v>
      </c>
      <c r="F145">
        <v>400</v>
      </c>
      <c r="G145">
        <v>570</v>
      </c>
      <c r="H145">
        <v>240</v>
      </c>
      <c r="I145">
        <v>450</v>
      </c>
      <c r="K145" s="3" t="s">
        <v>505</v>
      </c>
    </row>
    <row r="146" spans="1:11" ht="12">
      <c r="A146" t="s">
        <v>56</v>
      </c>
      <c r="B146" t="s">
        <v>504</v>
      </c>
      <c r="C146">
        <v>0.857</v>
      </c>
      <c r="D146">
        <v>0.345</v>
      </c>
      <c r="E146">
        <v>0.23221529</v>
      </c>
      <c r="F146">
        <v>115</v>
      </c>
      <c r="G146">
        <v>277</v>
      </c>
      <c r="H146">
        <v>90</v>
      </c>
      <c r="I146">
        <v>86</v>
      </c>
      <c r="K146" s="3" t="s">
        <v>54</v>
      </c>
    </row>
    <row r="147" spans="1:11" ht="12">
      <c r="A147" t="s">
        <v>8</v>
      </c>
      <c r="B147" t="s">
        <v>504</v>
      </c>
      <c r="C147">
        <v>1.38</v>
      </c>
      <c r="D147">
        <v>0.354</v>
      </c>
      <c r="E147">
        <v>0.38368361</v>
      </c>
      <c r="F147">
        <v>177</v>
      </c>
      <c r="G147">
        <v>231</v>
      </c>
      <c r="H147">
        <v>146</v>
      </c>
      <c r="I147">
        <v>413</v>
      </c>
      <c r="K147" s="3" t="s">
        <v>7</v>
      </c>
    </row>
    <row r="148" spans="1:11" ht="12">
      <c r="A148" t="s">
        <v>599</v>
      </c>
      <c r="B148" t="s">
        <v>504</v>
      </c>
      <c r="C148">
        <f>(1.843+2.527)/2</f>
        <v>2.185</v>
      </c>
      <c r="D148">
        <f>(0.341+0.455)/2</f>
        <v>0.398</v>
      </c>
      <c r="E148">
        <v>0.6830074</v>
      </c>
      <c r="F148" s="2">
        <v>207</v>
      </c>
      <c r="G148" s="2">
        <v>207</v>
      </c>
      <c r="H148" s="2">
        <f>(214+268)/2</f>
        <v>241</v>
      </c>
      <c r="K148" s="2" t="s">
        <v>600</v>
      </c>
    </row>
    <row r="149" spans="1:11" ht="12">
      <c r="A149" t="s">
        <v>116</v>
      </c>
      <c r="B149" t="s">
        <v>504</v>
      </c>
      <c r="C149">
        <v>3.062</v>
      </c>
      <c r="D149">
        <v>0.482</v>
      </c>
      <c r="E149">
        <v>1.15915929</v>
      </c>
      <c r="F149">
        <v>234</v>
      </c>
      <c r="G149">
        <v>303</v>
      </c>
      <c r="H149">
        <v>261</v>
      </c>
      <c r="I149">
        <v>626</v>
      </c>
      <c r="K149" s="3" t="s">
        <v>7</v>
      </c>
    </row>
    <row r="150" spans="1:11" ht="12">
      <c r="A150" t="s">
        <v>164</v>
      </c>
      <c r="B150" t="s">
        <v>528</v>
      </c>
      <c r="C150">
        <v>1.037</v>
      </c>
      <c r="D150">
        <v>0.301</v>
      </c>
      <c r="E150">
        <v>0.2451524</v>
      </c>
      <c r="F150">
        <v>63</v>
      </c>
      <c r="G150">
        <v>145</v>
      </c>
      <c r="H150">
        <v>45</v>
      </c>
      <c r="K150" s="3" t="s">
        <v>163</v>
      </c>
    </row>
    <row r="151" spans="1:11" ht="12">
      <c r="A151" t="s">
        <v>520</v>
      </c>
      <c r="B151" t="s">
        <v>528</v>
      </c>
      <c r="C151">
        <v>2.549</v>
      </c>
      <c r="D151">
        <v>0.445</v>
      </c>
      <c r="E151">
        <v>0.89088315</v>
      </c>
      <c r="F151">
        <v>254</v>
      </c>
      <c r="G151">
        <v>328</v>
      </c>
      <c r="H151">
        <v>72</v>
      </c>
      <c r="K151" s="3" t="s">
        <v>521</v>
      </c>
    </row>
    <row r="152" spans="1:11" ht="12">
      <c r="A152" t="s">
        <v>53</v>
      </c>
      <c r="B152" t="s">
        <v>528</v>
      </c>
      <c r="C152">
        <v>4.375</v>
      </c>
      <c r="D152">
        <v>0.723</v>
      </c>
      <c r="E152">
        <v>2.48431838</v>
      </c>
      <c r="F152">
        <v>236</v>
      </c>
      <c r="G152">
        <v>515</v>
      </c>
      <c r="H152">
        <v>132</v>
      </c>
      <c r="K152" s="3" t="s">
        <v>52</v>
      </c>
    </row>
    <row r="153" spans="1:11" ht="12">
      <c r="A153" t="s">
        <v>263</v>
      </c>
      <c r="B153" t="s">
        <v>528</v>
      </c>
      <c r="C153">
        <v>1.91</v>
      </c>
      <c r="D153">
        <v>0.78</v>
      </c>
      <c r="E153">
        <v>1.17008892</v>
      </c>
      <c r="F153">
        <v>195</v>
      </c>
      <c r="G153">
        <v>375</v>
      </c>
      <c r="H153">
        <v>97</v>
      </c>
      <c r="K153" s="2" t="s">
        <v>264</v>
      </c>
    </row>
    <row r="154" spans="1:11" ht="12">
      <c r="A154" t="s">
        <v>265</v>
      </c>
      <c r="B154" t="s">
        <v>528</v>
      </c>
      <c r="C154">
        <v>1.22</v>
      </c>
      <c r="D154">
        <v>0.58</v>
      </c>
      <c r="E154">
        <v>0.55574904</v>
      </c>
      <c r="F154">
        <v>195</v>
      </c>
      <c r="G154">
        <v>375</v>
      </c>
      <c r="H154">
        <v>58</v>
      </c>
      <c r="K154" s="2" t="s">
        <v>264</v>
      </c>
    </row>
    <row r="155" spans="1:11" ht="12">
      <c r="A155" t="s">
        <v>392</v>
      </c>
      <c r="B155" t="s">
        <v>528</v>
      </c>
      <c r="C155">
        <v>3.8</v>
      </c>
      <c r="D155">
        <v>1.2</v>
      </c>
      <c r="E155">
        <v>3.581424</v>
      </c>
      <c r="F155" s="2">
        <v>506</v>
      </c>
      <c r="G155" s="2">
        <v>1190</v>
      </c>
      <c r="H155" s="2">
        <v>103</v>
      </c>
      <c r="K155" s="3" t="s">
        <v>207</v>
      </c>
    </row>
    <row r="156" spans="1:11" ht="12">
      <c r="A156" t="s">
        <v>393</v>
      </c>
      <c r="B156" t="s">
        <v>528</v>
      </c>
      <c r="C156">
        <v>5.4</v>
      </c>
      <c r="D156">
        <v>2.1</v>
      </c>
      <c r="E156">
        <v>8.906436</v>
      </c>
      <c r="F156" s="2">
        <v>465</v>
      </c>
      <c r="G156" s="2">
        <v>2300</v>
      </c>
      <c r="H156" s="2">
        <v>164</v>
      </c>
      <c r="K156" s="3" t="s">
        <v>207</v>
      </c>
    </row>
    <row r="157" spans="1:11" ht="12">
      <c r="A157" t="s">
        <v>194</v>
      </c>
      <c r="B157" t="s">
        <v>528</v>
      </c>
      <c r="C157">
        <f>(1.21+1.52)/2</f>
        <v>1.365</v>
      </c>
      <c r="D157">
        <f>(0.357+0.496)/2</f>
        <v>0.4265</v>
      </c>
      <c r="E157">
        <v>0.45723828</v>
      </c>
      <c r="F157" s="2">
        <v>256</v>
      </c>
      <c r="G157" s="2">
        <v>360</v>
      </c>
      <c r="H157" s="2">
        <f>(84+90)/2</f>
        <v>87</v>
      </c>
      <c r="K157" s="2" t="s">
        <v>195</v>
      </c>
    </row>
    <row r="158" spans="1:11" ht="12">
      <c r="A158" t="s">
        <v>206</v>
      </c>
      <c r="B158" t="s">
        <v>528</v>
      </c>
      <c r="C158">
        <v>1.7</v>
      </c>
      <c r="D158">
        <v>0.494</v>
      </c>
      <c r="E158">
        <v>0.65957892</v>
      </c>
      <c r="F158" s="2">
        <v>130</v>
      </c>
      <c r="G158" s="2">
        <v>350</v>
      </c>
      <c r="H158" s="2">
        <v>76</v>
      </c>
      <c r="K158" s="3" t="s">
        <v>207</v>
      </c>
    </row>
    <row r="159" spans="1:11" ht="12">
      <c r="A159" t="s">
        <v>390</v>
      </c>
      <c r="B159" t="s">
        <v>528</v>
      </c>
      <c r="C159">
        <v>10.3</v>
      </c>
      <c r="D159">
        <v>5.1</v>
      </c>
      <c r="E159">
        <v>41.257062</v>
      </c>
      <c r="F159" s="2">
        <v>897</v>
      </c>
      <c r="G159" s="2">
        <v>2500</v>
      </c>
      <c r="H159" s="2">
        <v>361</v>
      </c>
      <c r="K159" s="3" t="s">
        <v>207</v>
      </c>
    </row>
    <row r="160" spans="1:11" ht="12">
      <c r="A160" t="s">
        <v>208</v>
      </c>
      <c r="B160" t="s">
        <v>528</v>
      </c>
      <c r="C160">
        <v>0.671</v>
      </c>
      <c r="D160">
        <v>0.208</v>
      </c>
      <c r="E160">
        <v>0.10961671</v>
      </c>
      <c r="F160" s="2">
        <v>200</v>
      </c>
      <c r="G160" s="2">
        <v>280</v>
      </c>
      <c r="H160" s="2">
        <v>48</v>
      </c>
      <c r="K160" s="3" t="s">
        <v>207</v>
      </c>
    </row>
    <row r="161" spans="1:11" ht="12">
      <c r="A161" t="s">
        <v>209</v>
      </c>
      <c r="B161" t="s">
        <v>528</v>
      </c>
      <c r="C161">
        <v>6.5</v>
      </c>
      <c r="D161">
        <v>1.6</v>
      </c>
      <c r="E161">
        <v>8.16816</v>
      </c>
      <c r="F161" s="2">
        <v>920</v>
      </c>
      <c r="G161" s="2">
        <v>1700</v>
      </c>
      <c r="H161" s="2"/>
      <c r="K161" s="3" t="s">
        <v>207</v>
      </c>
    </row>
    <row r="162" spans="1:11" ht="12">
      <c r="A162" t="s">
        <v>93</v>
      </c>
      <c r="B162" t="s">
        <v>528</v>
      </c>
      <c r="C162">
        <v>5.3</v>
      </c>
      <c r="D162">
        <v>1.45</v>
      </c>
      <c r="E162">
        <v>6.035799</v>
      </c>
      <c r="F162">
        <v>550</v>
      </c>
      <c r="G162">
        <v>755</v>
      </c>
      <c r="H162">
        <v>205</v>
      </c>
      <c r="K162" s="3" t="s">
        <v>94</v>
      </c>
    </row>
    <row r="163" spans="1:11" ht="12">
      <c r="A163" t="s">
        <v>175</v>
      </c>
      <c r="B163" t="s">
        <v>528</v>
      </c>
      <c r="C163">
        <v>1.18</v>
      </c>
      <c r="D163">
        <v>0.167</v>
      </c>
      <c r="E163">
        <v>0.15477092</v>
      </c>
      <c r="F163">
        <v>113</v>
      </c>
      <c r="G163">
        <v>112</v>
      </c>
      <c r="H163">
        <v>87</v>
      </c>
      <c r="K163" s="3" t="s">
        <v>174</v>
      </c>
    </row>
    <row r="164" spans="1:11" ht="12">
      <c r="A164" t="s">
        <v>564</v>
      </c>
      <c r="B164" t="s">
        <v>528</v>
      </c>
      <c r="C164">
        <v>3.05</v>
      </c>
      <c r="D164">
        <v>0.81</v>
      </c>
      <c r="E164">
        <v>1.9403307</v>
      </c>
      <c r="F164" s="2">
        <v>480</v>
      </c>
      <c r="G164" s="2">
        <v>780</v>
      </c>
      <c r="H164" s="2">
        <v>100</v>
      </c>
      <c r="K164" s="2" t="s">
        <v>565</v>
      </c>
    </row>
    <row r="165" spans="1:11" ht="12">
      <c r="A165" t="s">
        <v>70</v>
      </c>
      <c r="B165" t="s">
        <v>528</v>
      </c>
      <c r="C165">
        <v>3.808</v>
      </c>
      <c r="D165">
        <v>0.854</v>
      </c>
      <c r="E165">
        <v>2.55414593</v>
      </c>
      <c r="F165">
        <v>301</v>
      </c>
      <c r="G165">
        <v>658</v>
      </c>
      <c r="H165">
        <v>130</v>
      </c>
      <c r="K165" s="3" t="s">
        <v>71</v>
      </c>
    </row>
    <row r="166" spans="1:11" ht="12">
      <c r="A166" t="s">
        <v>196</v>
      </c>
      <c r="B166" t="s">
        <v>528</v>
      </c>
      <c r="C166">
        <f>(0.944+1.65)/2</f>
        <v>1.297</v>
      </c>
      <c r="D166">
        <f>(0.183+0.28)/2</f>
        <v>0.2315</v>
      </c>
      <c r="E166">
        <v>0.23582067</v>
      </c>
      <c r="F166" s="2">
        <v>220</v>
      </c>
      <c r="G166" s="2">
        <v>126</v>
      </c>
      <c r="H166" s="2">
        <f>(84+108)/2</f>
        <v>96</v>
      </c>
      <c r="K166" s="2" t="s">
        <v>195</v>
      </c>
    </row>
    <row r="167" spans="1:11" ht="12">
      <c r="A167" t="s">
        <v>394</v>
      </c>
      <c r="B167" t="s">
        <v>528</v>
      </c>
      <c r="C167">
        <v>1.2</v>
      </c>
      <c r="D167">
        <v>0.346</v>
      </c>
      <c r="E167">
        <v>0.32609808</v>
      </c>
      <c r="F167" s="2">
        <v>170</v>
      </c>
      <c r="G167" s="2">
        <v>300</v>
      </c>
      <c r="H167" s="2">
        <v>81</v>
      </c>
      <c r="K167" s="3" t="s">
        <v>207</v>
      </c>
    </row>
    <row r="168" spans="1:11" ht="12">
      <c r="A168" t="s">
        <v>395</v>
      </c>
      <c r="B168" t="s">
        <v>528</v>
      </c>
      <c r="C168">
        <v>1.576</v>
      </c>
      <c r="D168">
        <v>0.57</v>
      </c>
      <c r="E168">
        <v>0.70554053</v>
      </c>
      <c r="F168" s="2">
        <v>154</v>
      </c>
      <c r="G168" s="2">
        <v>300</v>
      </c>
      <c r="H168" s="2">
        <v>75</v>
      </c>
      <c r="K168" s="3" t="s">
        <v>396</v>
      </c>
    </row>
    <row r="169" spans="1:11" ht="12">
      <c r="A169" t="s">
        <v>365</v>
      </c>
      <c r="B169" t="s">
        <v>528</v>
      </c>
      <c r="C169">
        <v>1.95</v>
      </c>
      <c r="D169">
        <v>0.56</v>
      </c>
      <c r="E169">
        <v>0.8576568</v>
      </c>
      <c r="F169" s="2">
        <v>200</v>
      </c>
      <c r="G169" s="2">
        <v>400</v>
      </c>
      <c r="H169" s="2">
        <v>95</v>
      </c>
      <c r="K169" s="2" t="s">
        <v>366</v>
      </c>
    </row>
    <row r="170" spans="1:11" ht="12">
      <c r="A170" t="s">
        <v>176</v>
      </c>
      <c r="B170" t="s">
        <v>528</v>
      </c>
      <c r="C170">
        <v>0.716</v>
      </c>
      <c r="D170">
        <v>0.288</v>
      </c>
      <c r="E170">
        <v>0.16195576</v>
      </c>
      <c r="F170">
        <v>82</v>
      </c>
      <c r="G170">
        <v>140</v>
      </c>
      <c r="H170">
        <v>45</v>
      </c>
      <c r="K170" s="3" t="s">
        <v>174</v>
      </c>
    </row>
    <row r="171" spans="1:11" ht="12">
      <c r="A171" t="s">
        <v>617</v>
      </c>
      <c r="B171" t="s">
        <v>528</v>
      </c>
      <c r="C171">
        <v>14.322</v>
      </c>
      <c r="D171">
        <v>6.903</v>
      </c>
      <c r="E171">
        <v>77.6483872</v>
      </c>
      <c r="F171" s="2">
        <v>1511</v>
      </c>
      <c r="G171" s="2">
        <v>1534</v>
      </c>
      <c r="H171" s="2">
        <v>675</v>
      </c>
      <c r="K171" s="2" t="s">
        <v>616</v>
      </c>
    </row>
    <row r="172" spans="1:11" ht="12">
      <c r="A172" t="s">
        <v>391</v>
      </c>
      <c r="B172" t="s">
        <v>528</v>
      </c>
      <c r="C172">
        <v>2.2</v>
      </c>
      <c r="D172">
        <v>0.6</v>
      </c>
      <c r="E172">
        <v>1.036728</v>
      </c>
      <c r="F172" s="2">
        <v>270</v>
      </c>
      <c r="G172" s="2">
        <v>420</v>
      </c>
      <c r="H172" s="2">
        <v>128</v>
      </c>
      <c r="K172" s="3" t="s">
        <v>207</v>
      </c>
    </row>
    <row r="173" spans="1:11" ht="12">
      <c r="A173" t="s">
        <v>222</v>
      </c>
      <c r="B173" t="s">
        <v>528</v>
      </c>
      <c r="C173">
        <v>0.712</v>
      </c>
      <c r="D173">
        <v>0.145</v>
      </c>
      <c r="E173">
        <v>0.0810847</v>
      </c>
      <c r="F173">
        <v>68</v>
      </c>
      <c r="G173">
        <v>98</v>
      </c>
      <c r="H173">
        <v>34</v>
      </c>
      <c r="K173" s="3" t="s">
        <v>223</v>
      </c>
    </row>
    <row r="174" spans="1:11" ht="12">
      <c r="A174" t="s">
        <v>221</v>
      </c>
      <c r="B174" t="s">
        <v>528</v>
      </c>
      <c r="C174">
        <v>0.453</v>
      </c>
      <c r="D174">
        <v>0.094</v>
      </c>
      <c r="E174">
        <v>0.0334439</v>
      </c>
      <c r="F174">
        <v>55</v>
      </c>
      <c r="G174">
        <v>65</v>
      </c>
      <c r="H174">
        <v>26</v>
      </c>
      <c r="K174" s="3" t="s">
        <v>223</v>
      </c>
    </row>
    <row r="175" spans="1:11" ht="12">
      <c r="A175" t="s">
        <v>101</v>
      </c>
      <c r="B175" t="s">
        <v>528</v>
      </c>
      <c r="C175">
        <v>3.348</v>
      </c>
      <c r="D175">
        <v>0.765</v>
      </c>
      <c r="E175">
        <v>2.01158219</v>
      </c>
      <c r="F175">
        <v>369</v>
      </c>
      <c r="G175">
        <v>415</v>
      </c>
      <c r="H175">
        <v>249</v>
      </c>
      <c r="K175" s="3" t="s">
        <v>102</v>
      </c>
    </row>
    <row r="176" spans="1:11" ht="12">
      <c r="A176" t="s">
        <v>527</v>
      </c>
      <c r="B176" t="s">
        <v>528</v>
      </c>
      <c r="C176">
        <f>(1.1+3.8)/2</f>
        <v>2.45</v>
      </c>
      <c r="D176">
        <f>(0.3+1.37)/2</f>
        <v>0.8350000000000001</v>
      </c>
      <c r="E176">
        <v>1.60673205</v>
      </c>
      <c r="F176" s="2">
        <v>380</v>
      </c>
      <c r="G176" s="2">
        <v>380</v>
      </c>
      <c r="H176" s="2">
        <f>(80+120)/2</f>
        <v>100</v>
      </c>
      <c r="K176" t="s">
        <v>529</v>
      </c>
    </row>
    <row r="177" spans="1:11" ht="12">
      <c r="A177" t="s">
        <v>516</v>
      </c>
      <c r="B177" t="s">
        <v>243</v>
      </c>
      <c r="C177">
        <v>1.355</v>
      </c>
      <c r="D177">
        <v>0.319</v>
      </c>
      <c r="E177">
        <v>0.33948522</v>
      </c>
      <c r="F177">
        <v>71</v>
      </c>
      <c r="G177">
        <v>96</v>
      </c>
      <c r="H177">
        <v>55</v>
      </c>
      <c r="K177" s="3" t="s">
        <v>517</v>
      </c>
    </row>
    <row r="178" spans="1:11" ht="12">
      <c r="A178" t="s">
        <v>480</v>
      </c>
      <c r="B178" t="s">
        <v>243</v>
      </c>
      <c r="C178">
        <v>0.495</v>
      </c>
      <c r="D178">
        <v>0.263</v>
      </c>
      <c r="E178">
        <v>0.1022473</v>
      </c>
      <c r="F178">
        <v>64</v>
      </c>
      <c r="G178">
        <v>100</v>
      </c>
      <c r="H178">
        <v>43</v>
      </c>
      <c r="K178" s="3" t="s">
        <v>481</v>
      </c>
    </row>
    <row r="179" spans="1:11" ht="12">
      <c r="A179" t="s">
        <v>597</v>
      </c>
      <c r="B179" t="s">
        <v>243</v>
      </c>
      <c r="C179">
        <f>(0.218+0.64)/2</f>
        <v>0.429</v>
      </c>
      <c r="D179">
        <f>(0.115+0.294)/2</f>
        <v>0.2045</v>
      </c>
      <c r="E179">
        <v>0.06890353</v>
      </c>
      <c r="F179" s="2">
        <v>67</v>
      </c>
      <c r="G179" s="2">
        <v>56</v>
      </c>
      <c r="H179" s="2">
        <f>(22+56)/2</f>
        <v>39</v>
      </c>
      <c r="K179" s="2" t="s">
        <v>598</v>
      </c>
    </row>
    <row r="180" spans="1:11" ht="12">
      <c r="A180" t="s">
        <v>83</v>
      </c>
      <c r="B180" t="s">
        <v>243</v>
      </c>
      <c r="C180">
        <v>0.931</v>
      </c>
      <c r="D180">
        <v>0.368</v>
      </c>
      <c r="E180">
        <v>0.26908432</v>
      </c>
      <c r="F180">
        <v>176</v>
      </c>
      <c r="G180">
        <v>117</v>
      </c>
      <c r="H180">
        <v>73</v>
      </c>
      <c r="K180" s="3" t="s">
        <v>84</v>
      </c>
    </row>
    <row r="181" spans="1:11" ht="12">
      <c r="A181" t="s">
        <v>420</v>
      </c>
      <c r="B181" t="s">
        <v>243</v>
      </c>
      <c r="C181">
        <v>0.467</v>
      </c>
      <c r="D181">
        <v>0.168</v>
      </c>
      <c r="E181">
        <v>0.06161934</v>
      </c>
      <c r="F181">
        <v>55</v>
      </c>
      <c r="G181">
        <v>53</v>
      </c>
      <c r="H181">
        <v>45</v>
      </c>
      <c r="K181" s="3" t="s">
        <v>417</v>
      </c>
    </row>
    <row r="182" spans="1:11" ht="12">
      <c r="A182" t="s">
        <v>421</v>
      </c>
      <c r="B182" t="s">
        <v>243</v>
      </c>
      <c r="C182">
        <v>0.729</v>
      </c>
      <c r="D182">
        <v>0.207</v>
      </c>
      <c r="E182">
        <v>0.11851922</v>
      </c>
      <c r="F182">
        <v>171</v>
      </c>
      <c r="G182">
        <v>60</v>
      </c>
      <c r="K182" s="3" t="s">
        <v>417</v>
      </c>
    </row>
    <row r="183" spans="1:11" ht="12">
      <c r="A183" t="s">
        <v>419</v>
      </c>
      <c r="B183" t="s">
        <v>243</v>
      </c>
      <c r="C183">
        <v>0.66</v>
      </c>
      <c r="D183">
        <v>0.376</v>
      </c>
      <c r="E183">
        <v>0.19490486</v>
      </c>
      <c r="F183">
        <v>48</v>
      </c>
      <c r="G183">
        <v>71</v>
      </c>
      <c r="H183">
        <v>40</v>
      </c>
      <c r="K183" s="3" t="s">
        <v>417</v>
      </c>
    </row>
    <row r="184" spans="1:11" ht="12">
      <c r="A184" t="s">
        <v>369</v>
      </c>
      <c r="B184" t="s">
        <v>243</v>
      </c>
      <c r="C184">
        <v>0.573</v>
      </c>
      <c r="D184">
        <v>0.142</v>
      </c>
      <c r="E184">
        <v>0.06390486</v>
      </c>
      <c r="F184" s="2"/>
      <c r="G184" s="2">
        <v>53</v>
      </c>
      <c r="H184" s="2">
        <v>46</v>
      </c>
      <c r="K184" s="2" t="s">
        <v>370</v>
      </c>
    </row>
    <row r="185" spans="1:11" ht="12">
      <c r="A185" t="s">
        <v>418</v>
      </c>
      <c r="B185" t="s">
        <v>243</v>
      </c>
      <c r="C185">
        <v>0.528</v>
      </c>
      <c r="D185">
        <v>0.149</v>
      </c>
      <c r="E185">
        <v>0.06178899</v>
      </c>
      <c r="F185">
        <v>53</v>
      </c>
      <c r="G185">
        <v>56</v>
      </c>
      <c r="H185">
        <v>51</v>
      </c>
      <c r="K185" s="3" t="s">
        <v>417</v>
      </c>
    </row>
    <row r="186" spans="1:11" ht="12">
      <c r="A186" t="s">
        <v>151</v>
      </c>
      <c r="B186" t="s">
        <v>243</v>
      </c>
      <c r="C186">
        <v>4.15</v>
      </c>
      <c r="D186">
        <v>1.32</v>
      </c>
      <c r="E186">
        <v>4.3024212</v>
      </c>
      <c r="F186" s="2">
        <v>216</v>
      </c>
      <c r="G186" s="2">
        <v>94</v>
      </c>
      <c r="H186" s="2">
        <v>136</v>
      </c>
      <c r="K186" s="2" t="s">
        <v>152</v>
      </c>
    </row>
    <row r="187" spans="1:11" ht="12">
      <c r="A187" t="s">
        <v>245</v>
      </c>
      <c r="B187" t="s">
        <v>243</v>
      </c>
      <c r="C187">
        <v>0.28</v>
      </c>
      <c r="D187">
        <v>0.21</v>
      </c>
      <c r="E187">
        <v>0.04618152</v>
      </c>
      <c r="F187" s="2">
        <v>53</v>
      </c>
      <c r="G187" s="2"/>
      <c r="H187" s="2">
        <v>31</v>
      </c>
      <c r="K187" t="s">
        <v>244</v>
      </c>
    </row>
    <row r="188" spans="1:11" ht="12">
      <c r="A188" t="s">
        <v>246</v>
      </c>
      <c r="B188" t="s">
        <v>243</v>
      </c>
      <c r="C188">
        <v>0.36</v>
      </c>
      <c r="D188">
        <v>0.16</v>
      </c>
      <c r="E188">
        <v>0.04523904</v>
      </c>
      <c r="F188" s="2">
        <v>47</v>
      </c>
      <c r="G188" s="2"/>
      <c r="H188" s="2">
        <v>30</v>
      </c>
      <c r="K188" t="s">
        <v>244</v>
      </c>
    </row>
    <row r="189" spans="1:11" ht="12">
      <c r="A189" t="s">
        <v>433</v>
      </c>
      <c r="B189" t="s">
        <v>243</v>
      </c>
      <c r="C189">
        <v>1.132</v>
      </c>
      <c r="D189">
        <v>0.373</v>
      </c>
      <c r="E189">
        <v>0.33162415</v>
      </c>
      <c r="F189" s="2">
        <v>68</v>
      </c>
      <c r="G189" s="2">
        <v>72</v>
      </c>
      <c r="H189" s="2">
        <v>64</v>
      </c>
      <c r="K189" t="s">
        <v>434</v>
      </c>
    </row>
    <row r="190" spans="1:11" ht="12">
      <c r="A190" t="s">
        <v>545</v>
      </c>
      <c r="B190" t="s">
        <v>243</v>
      </c>
      <c r="C190">
        <v>0.271</v>
      </c>
      <c r="D190">
        <v>0.103</v>
      </c>
      <c r="E190">
        <v>0.02192287</v>
      </c>
      <c r="F190">
        <v>32</v>
      </c>
      <c r="H190">
        <v>18</v>
      </c>
      <c r="K190" s="3" t="s">
        <v>546</v>
      </c>
    </row>
    <row r="191" spans="1:11" ht="12">
      <c r="A191" t="s">
        <v>242</v>
      </c>
      <c r="B191" t="s">
        <v>243</v>
      </c>
      <c r="C191">
        <v>0.321</v>
      </c>
      <c r="D191">
        <v>0.176</v>
      </c>
      <c r="E191">
        <v>0.04437196</v>
      </c>
      <c r="F191" s="2">
        <v>53</v>
      </c>
      <c r="G191" s="2"/>
      <c r="H191" s="2">
        <v>31</v>
      </c>
      <c r="K191" t="s">
        <v>244</v>
      </c>
    </row>
    <row r="192" spans="1:11" ht="12">
      <c r="A192" t="s">
        <v>580</v>
      </c>
      <c r="B192" t="s">
        <v>436</v>
      </c>
      <c r="C192">
        <v>0.65</v>
      </c>
      <c r="D192">
        <v>0.6</v>
      </c>
      <c r="E192">
        <v>0.306306</v>
      </c>
      <c r="F192" s="2">
        <v>93</v>
      </c>
      <c r="G192" s="2">
        <v>55</v>
      </c>
      <c r="H192" s="2"/>
      <c r="K192" s="3" t="s">
        <v>578</v>
      </c>
    </row>
    <row r="193" spans="1:11" ht="12">
      <c r="A193" t="s">
        <v>346</v>
      </c>
      <c r="B193" t="s">
        <v>436</v>
      </c>
      <c r="C193">
        <f>(0.61+0.66)/2</f>
        <v>0.635</v>
      </c>
      <c r="D193">
        <f>(0.39+0.445)/2</f>
        <v>0.4175</v>
      </c>
      <c r="E193">
        <v>0.20821936</v>
      </c>
      <c r="F193" s="2">
        <v>90</v>
      </c>
      <c r="G193" s="2">
        <v>75</v>
      </c>
      <c r="H193" s="2">
        <v>35.5</v>
      </c>
      <c r="K193" s="2" t="s">
        <v>347</v>
      </c>
    </row>
    <row r="194" spans="1:11" ht="12">
      <c r="A194" t="s">
        <v>278</v>
      </c>
      <c r="B194" t="s">
        <v>436</v>
      </c>
      <c r="C194">
        <f>(0.99+1.12)/2</f>
        <v>1.0550000000000002</v>
      </c>
      <c r="D194">
        <f>(0.422+0.462)/2</f>
        <v>0.442</v>
      </c>
      <c r="E194">
        <v>0.36623987</v>
      </c>
      <c r="F194" s="2">
        <v>112</v>
      </c>
      <c r="G194" s="2">
        <v>119</v>
      </c>
      <c r="H194" s="2">
        <f>(40+46)/2</f>
        <v>43</v>
      </c>
      <c r="I194">
        <f>(330+430)/2</f>
        <v>380</v>
      </c>
      <c r="K194" s="2" t="s">
        <v>279</v>
      </c>
    </row>
    <row r="195" spans="1:11" ht="12">
      <c r="A195" t="s">
        <v>471</v>
      </c>
      <c r="B195" t="s">
        <v>436</v>
      </c>
      <c r="C195">
        <f>(0.65+0.66)/2</f>
        <v>0.655</v>
      </c>
      <c r="D195">
        <f>(0.23+0.25)/2</f>
        <v>0.24</v>
      </c>
      <c r="E195">
        <v>0.12346488</v>
      </c>
      <c r="F195" s="2">
        <v>82</v>
      </c>
      <c r="G195" s="2">
        <v>68</v>
      </c>
      <c r="H195" s="2">
        <v>32</v>
      </c>
      <c r="I195">
        <f>(224+228)/2</f>
        <v>226</v>
      </c>
      <c r="K195" s="2" t="s">
        <v>472</v>
      </c>
    </row>
    <row r="196" spans="1:11" ht="12">
      <c r="A196" t="s">
        <v>266</v>
      </c>
      <c r="B196" t="s">
        <v>436</v>
      </c>
      <c r="C196">
        <v>1.38</v>
      </c>
      <c r="D196">
        <v>0.9</v>
      </c>
      <c r="E196">
        <v>0.9754668</v>
      </c>
      <c r="F196">
        <v>450</v>
      </c>
      <c r="G196">
        <v>470</v>
      </c>
      <c r="H196">
        <v>140</v>
      </c>
      <c r="I196">
        <v>380</v>
      </c>
      <c r="K196" s="2" t="s">
        <v>267</v>
      </c>
    </row>
    <row r="197" spans="1:11" ht="12">
      <c r="A197" t="s">
        <v>294</v>
      </c>
      <c r="B197" t="s">
        <v>436</v>
      </c>
      <c r="C197">
        <v>2.44</v>
      </c>
      <c r="D197">
        <v>0.81</v>
      </c>
      <c r="E197">
        <v>1.55226456</v>
      </c>
      <c r="F197" s="2">
        <v>212</v>
      </c>
      <c r="G197" s="2">
        <v>207</v>
      </c>
      <c r="H197" s="2">
        <v>74</v>
      </c>
      <c r="K197" s="2" t="s">
        <v>258</v>
      </c>
    </row>
    <row r="198" spans="1:11" ht="12">
      <c r="A198" t="s">
        <v>337</v>
      </c>
      <c r="B198" t="s">
        <v>436</v>
      </c>
      <c r="C198">
        <f>(0.228+1.2)/2</f>
        <v>0.714</v>
      </c>
      <c r="D198">
        <f>(0.214+0.822)/2</f>
        <v>0.518</v>
      </c>
      <c r="E198">
        <v>0.29048176</v>
      </c>
      <c r="F198" s="2">
        <v>83</v>
      </c>
      <c r="G198" s="2">
        <v>68</v>
      </c>
      <c r="H198" s="2">
        <f>(18+35)/2</f>
        <v>26.5</v>
      </c>
      <c r="K198" t="s">
        <v>338</v>
      </c>
    </row>
    <row r="199" spans="1:11" ht="12">
      <c r="A199" t="s">
        <v>399</v>
      </c>
      <c r="B199" t="s">
        <v>436</v>
      </c>
      <c r="C199">
        <v>0.38</v>
      </c>
      <c r="D199">
        <v>0.218</v>
      </c>
      <c r="E199">
        <v>0.06506254</v>
      </c>
      <c r="F199" s="2">
        <v>79</v>
      </c>
      <c r="G199" s="2">
        <v>71</v>
      </c>
      <c r="H199" s="2">
        <v>17</v>
      </c>
      <c r="I199" s="2">
        <v>142</v>
      </c>
      <c r="K199" s="3" t="s">
        <v>400</v>
      </c>
    </row>
    <row r="200" spans="1:11" ht="12">
      <c r="A200" t="s">
        <v>577</v>
      </c>
      <c r="B200" t="s">
        <v>436</v>
      </c>
      <c r="C200">
        <v>2.63</v>
      </c>
      <c r="D200">
        <v>1.44</v>
      </c>
      <c r="E200">
        <v>2.97446688</v>
      </c>
      <c r="F200" s="2">
        <v>380</v>
      </c>
      <c r="G200" s="2">
        <v>288</v>
      </c>
      <c r="H200" s="2">
        <v>150</v>
      </c>
      <c r="K200" s="3" t="s">
        <v>578</v>
      </c>
    </row>
    <row r="201" spans="1:11" ht="12">
      <c r="A201" t="s">
        <v>439</v>
      </c>
      <c r="B201" t="s">
        <v>436</v>
      </c>
      <c r="C201">
        <f>(0.57+1.12)/2</f>
        <v>0.845</v>
      </c>
      <c r="D201">
        <f>(0.505+0.77)/2</f>
        <v>0.6375</v>
      </c>
      <c r="E201">
        <v>0.42308516</v>
      </c>
      <c r="F201" s="2">
        <v>127</v>
      </c>
      <c r="G201" s="2">
        <v>150</v>
      </c>
      <c r="H201" s="2">
        <f>(28+50)/2</f>
        <v>39</v>
      </c>
      <c r="I201">
        <v>168.5</v>
      </c>
      <c r="K201" s="2" t="s">
        <v>440</v>
      </c>
    </row>
    <row r="202" spans="1:11" ht="12">
      <c r="A202" t="s">
        <v>323</v>
      </c>
      <c r="B202" t="s">
        <v>436</v>
      </c>
      <c r="C202">
        <f>(0.97+1.092)/2</f>
        <v>1.0310000000000001</v>
      </c>
      <c r="D202">
        <f>(0.51+0.59)/2</f>
        <v>0.55</v>
      </c>
      <c r="E202">
        <v>0.44536107</v>
      </c>
      <c r="F202" s="2">
        <v>119</v>
      </c>
      <c r="G202" s="2">
        <v>119</v>
      </c>
      <c r="H202" s="2"/>
      <c r="K202" t="s">
        <v>322</v>
      </c>
    </row>
    <row r="203" spans="1:11" ht="12">
      <c r="A203" t="s">
        <v>408</v>
      </c>
      <c r="B203" t="s">
        <v>436</v>
      </c>
      <c r="C203">
        <v>0.651</v>
      </c>
      <c r="D203">
        <v>0.502</v>
      </c>
      <c r="E203">
        <v>0.25667029</v>
      </c>
      <c r="F203" s="2">
        <v>134</v>
      </c>
      <c r="G203" s="2">
        <v>150</v>
      </c>
      <c r="H203" s="2">
        <v>46</v>
      </c>
      <c r="I203">
        <v>542</v>
      </c>
      <c r="K203" s="3" t="s">
        <v>409</v>
      </c>
    </row>
    <row r="204" spans="1:11" ht="12">
      <c r="A204" t="s">
        <v>435</v>
      </c>
      <c r="B204" t="s">
        <v>436</v>
      </c>
      <c r="C204">
        <f>(0.72+0.78)/2</f>
        <v>0.75</v>
      </c>
      <c r="D204">
        <f>(0.4+0.49)/2</f>
        <v>0.445</v>
      </c>
      <c r="E204">
        <v>0.26212725</v>
      </c>
      <c r="F204" s="2">
        <v>114</v>
      </c>
      <c r="G204" s="2">
        <v>114</v>
      </c>
      <c r="H204" s="2">
        <v>40</v>
      </c>
      <c r="K204" t="s">
        <v>322</v>
      </c>
    </row>
    <row r="205" spans="1:11" ht="12">
      <c r="A205" t="s">
        <v>579</v>
      </c>
      <c r="B205" t="s">
        <v>436</v>
      </c>
      <c r="C205">
        <v>0.57</v>
      </c>
      <c r="D205">
        <v>0.45</v>
      </c>
      <c r="E205">
        <v>0.2014551</v>
      </c>
      <c r="F205" s="2">
        <v>158</v>
      </c>
      <c r="G205" s="2">
        <v>138</v>
      </c>
      <c r="H205" s="2">
        <f>(30+43)/2</f>
        <v>36.5</v>
      </c>
      <c r="K205" s="3" t="s">
        <v>578</v>
      </c>
    </row>
    <row r="206" spans="1:11" ht="12">
      <c r="A206" t="s">
        <v>268</v>
      </c>
      <c r="B206" t="s">
        <v>436</v>
      </c>
      <c r="C206">
        <v>0.548</v>
      </c>
      <c r="D206">
        <v>0.674</v>
      </c>
      <c r="E206">
        <v>0.29008906</v>
      </c>
      <c r="F206">
        <v>130</v>
      </c>
      <c r="G206">
        <v>130</v>
      </c>
      <c r="H206">
        <v>60</v>
      </c>
      <c r="I206">
        <v>194</v>
      </c>
      <c r="K206" s="2" t="s">
        <v>267</v>
      </c>
    </row>
    <row r="207" spans="1:11" ht="12">
      <c r="A207" t="s">
        <v>447</v>
      </c>
      <c r="B207" t="s">
        <v>436</v>
      </c>
      <c r="C207">
        <v>1.045</v>
      </c>
      <c r="D207">
        <v>0.609</v>
      </c>
      <c r="E207">
        <v>0.49983249</v>
      </c>
      <c r="F207" s="2">
        <v>332</v>
      </c>
      <c r="G207" s="2">
        <v>270</v>
      </c>
      <c r="H207" s="2">
        <v>43</v>
      </c>
      <c r="I207">
        <v>279</v>
      </c>
      <c r="K207" s="2" t="s">
        <v>448</v>
      </c>
    </row>
    <row r="208" spans="1:11" ht="12">
      <c r="A208" t="s">
        <v>405</v>
      </c>
      <c r="B208" t="s">
        <v>340</v>
      </c>
      <c r="C208">
        <v>5.822</v>
      </c>
      <c r="D208">
        <v>0.566</v>
      </c>
      <c r="E208">
        <v>2.58809092</v>
      </c>
      <c r="F208">
        <v>264</v>
      </c>
      <c r="G208">
        <v>260</v>
      </c>
      <c r="H208">
        <v>117</v>
      </c>
      <c r="K208" s="3" t="s">
        <v>404</v>
      </c>
    </row>
    <row r="209" spans="1:11" ht="12">
      <c r="A209" t="s">
        <v>377</v>
      </c>
      <c r="B209" t="s">
        <v>340</v>
      </c>
      <c r="C209">
        <v>0.967</v>
      </c>
      <c r="D209">
        <v>0.526</v>
      </c>
      <c r="E209">
        <v>0.39948743</v>
      </c>
      <c r="F209">
        <v>223</v>
      </c>
      <c r="G209">
        <v>241</v>
      </c>
      <c r="H209">
        <v>168</v>
      </c>
      <c r="I209">
        <v>228</v>
      </c>
      <c r="K209" s="3" t="s">
        <v>378</v>
      </c>
    </row>
    <row r="210" spans="1:11" ht="12">
      <c r="A210" t="s">
        <v>111</v>
      </c>
      <c r="B210" t="s">
        <v>340</v>
      </c>
      <c r="C210">
        <f>(2.306+4.801)/2</f>
        <v>3.5535</v>
      </c>
      <c r="D210">
        <f>(0.608+1.59)/2</f>
        <v>1.099</v>
      </c>
      <c r="E210">
        <v>3.06721987</v>
      </c>
      <c r="F210" s="2">
        <v>416</v>
      </c>
      <c r="G210" s="2">
        <v>559</v>
      </c>
      <c r="H210" s="2">
        <f>(114+186)/2</f>
        <v>150</v>
      </c>
      <c r="K210" s="2" t="s">
        <v>112</v>
      </c>
    </row>
    <row r="211" spans="1:11" ht="12">
      <c r="A211" t="s">
        <v>226</v>
      </c>
      <c r="B211" t="s">
        <v>340</v>
      </c>
      <c r="C211">
        <v>2.663</v>
      </c>
      <c r="D211">
        <v>0.498</v>
      </c>
      <c r="E211">
        <v>1.04157706</v>
      </c>
      <c r="F211">
        <v>138</v>
      </c>
      <c r="G211">
        <v>165</v>
      </c>
      <c r="H211">
        <v>64</v>
      </c>
      <c r="I211">
        <v>123</v>
      </c>
      <c r="K211" s="3" t="s">
        <v>404</v>
      </c>
    </row>
    <row r="212" spans="1:11" ht="12">
      <c r="A212" t="s">
        <v>225</v>
      </c>
      <c r="B212" t="s">
        <v>340</v>
      </c>
      <c r="C212">
        <v>2.646</v>
      </c>
      <c r="D212">
        <v>0.576</v>
      </c>
      <c r="E212">
        <v>1.197025</v>
      </c>
      <c r="F212">
        <v>129</v>
      </c>
      <c r="G212">
        <v>171</v>
      </c>
      <c r="H212">
        <v>78</v>
      </c>
      <c r="I212">
        <v>128</v>
      </c>
      <c r="K212" s="3" t="s">
        <v>404</v>
      </c>
    </row>
    <row r="213" spans="1:11" ht="12">
      <c r="A213" t="s">
        <v>373</v>
      </c>
      <c r="B213" t="s">
        <v>340</v>
      </c>
      <c r="C213">
        <f>(1.68+4.57)/2</f>
        <v>3.125</v>
      </c>
      <c r="D213">
        <f>(0.56+0.96)/2</f>
        <v>0.76</v>
      </c>
      <c r="E213">
        <v>1.865325</v>
      </c>
      <c r="F213" s="2">
        <v>260</v>
      </c>
      <c r="G213" s="2">
        <v>257</v>
      </c>
      <c r="H213" s="2">
        <f>(107+136)/2</f>
        <v>121.5</v>
      </c>
      <c r="K213" s="2" t="s">
        <v>193</v>
      </c>
    </row>
    <row r="214" spans="1:11" ht="12">
      <c r="A214" t="s">
        <v>502</v>
      </c>
      <c r="B214" t="s">
        <v>340</v>
      </c>
      <c r="C214">
        <v>1.382</v>
      </c>
      <c r="D214">
        <v>0.464</v>
      </c>
      <c r="E214">
        <v>0.50363618</v>
      </c>
      <c r="F214">
        <v>190</v>
      </c>
      <c r="G214">
        <v>139</v>
      </c>
      <c r="H214">
        <v>133</v>
      </c>
      <c r="I214">
        <v>277</v>
      </c>
      <c r="K214" s="3" t="s">
        <v>640</v>
      </c>
    </row>
    <row r="215" spans="1:11" ht="12">
      <c r="A215" t="s">
        <v>468</v>
      </c>
      <c r="B215" t="s">
        <v>340</v>
      </c>
      <c r="C215">
        <v>6.392</v>
      </c>
      <c r="D215">
        <v>0.371</v>
      </c>
      <c r="E215">
        <v>1.86252269</v>
      </c>
      <c r="F215">
        <v>64</v>
      </c>
      <c r="G215">
        <v>116</v>
      </c>
      <c r="H215">
        <v>64</v>
      </c>
      <c r="I215">
        <v>283</v>
      </c>
      <c r="K215" s="3" t="s">
        <v>640</v>
      </c>
    </row>
    <row r="216" spans="1:11" ht="12">
      <c r="A216" t="s">
        <v>166</v>
      </c>
      <c r="B216" t="s">
        <v>340</v>
      </c>
      <c r="C216">
        <v>2.129</v>
      </c>
      <c r="D216">
        <v>0.371</v>
      </c>
      <c r="E216">
        <v>0.62035526</v>
      </c>
      <c r="F216">
        <v>203</v>
      </c>
      <c r="G216">
        <v>173</v>
      </c>
      <c r="H216">
        <v>118</v>
      </c>
      <c r="I216">
        <v>373</v>
      </c>
      <c r="K216" s="3" t="s">
        <v>165</v>
      </c>
    </row>
    <row r="217" spans="1:11" ht="12">
      <c r="A217" t="s">
        <v>465</v>
      </c>
      <c r="B217" t="s">
        <v>340</v>
      </c>
      <c r="C217">
        <v>4.547</v>
      </c>
      <c r="D217">
        <v>0.356</v>
      </c>
      <c r="E217">
        <v>1.27135211</v>
      </c>
      <c r="F217">
        <v>178</v>
      </c>
      <c r="G217">
        <v>156</v>
      </c>
      <c r="H217">
        <v>81</v>
      </c>
      <c r="I217">
        <v>349</v>
      </c>
      <c r="K217" s="3" t="s">
        <v>640</v>
      </c>
    </row>
    <row r="218" spans="1:11" ht="12">
      <c r="A218" t="s">
        <v>426</v>
      </c>
      <c r="B218" t="s">
        <v>340</v>
      </c>
      <c r="C218">
        <v>2.463</v>
      </c>
      <c r="D218">
        <v>0.274</v>
      </c>
      <c r="E218">
        <v>0.53003661</v>
      </c>
      <c r="F218">
        <v>65</v>
      </c>
      <c r="G218">
        <v>89</v>
      </c>
      <c r="H218">
        <v>49</v>
      </c>
      <c r="I218">
        <v>466</v>
      </c>
      <c r="K218" s="3" t="s">
        <v>424</v>
      </c>
    </row>
    <row r="219" spans="1:11" ht="12">
      <c r="A219" t="s">
        <v>425</v>
      </c>
      <c r="B219" t="s">
        <v>340</v>
      </c>
      <c r="C219">
        <v>1.317</v>
      </c>
      <c r="D219">
        <v>0.207</v>
      </c>
      <c r="E219">
        <v>0.21411496</v>
      </c>
      <c r="F219">
        <v>39</v>
      </c>
      <c r="G219">
        <v>69</v>
      </c>
      <c r="H219">
        <v>45</v>
      </c>
      <c r="I219">
        <v>180</v>
      </c>
      <c r="K219" s="3" t="s">
        <v>424</v>
      </c>
    </row>
    <row r="220" spans="1:11" ht="12">
      <c r="A220" t="s">
        <v>636</v>
      </c>
      <c r="B220" t="s">
        <v>340</v>
      </c>
      <c r="C220">
        <v>2.297</v>
      </c>
      <c r="D220">
        <v>1.407</v>
      </c>
      <c r="E220">
        <v>2.53831777</v>
      </c>
      <c r="F220">
        <v>400</v>
      </c>
      <c r="G220">
        <v>270</v>
      </c>
      <c r="H220">
        <v>340</v>
      </c>
      <c r="I220">
        <v>646</v>
      </c>
      <c r="K220" s="3" t="s">
        <v>637</v>
      </c>
    </row>
    <row r="221" spans="1:11" ht="12">
      <c r="A221" t="s">
        <v>302</v>
      </c>
      <c r="B221" t="s">
        <v>340</v>
      </c>
      <c r="C221">
        <v>2.667</v>
      </c>
      <c r="D221">
        <v>0.743</v>
      </c>
      <c r="E221">
        <v>1.55633372</v>
      </c>
      <c r="F221">
        <v>257</v>
      </c>
      <c r="G221">
        <v>269</v>
      </c>
      <c r="H221">
        <v>189</v>
      </c>
      <c r="I221">
        <v>706</v>
      </c>
      <c r="K221" s="3" t="s">
        <v>119</v>
      </c>
    </row>
    <row r="222" spans="1:11" ht="12">
      <c r="A222" t="s">
        <v>303</v>
      </c>
      <c r="B222" t="s">
        <v>340</v>
      </c>
      <c r="C222">
        <v>1.058</v>
      </c>
      <c r="D222">
        <v>0.362</v>
      </c>
      <c r="E222">
        <v>0.30080506</v>
      </c>
      <c r="F222">
        <v>160</v>
      </c>
      <c r="G222">
        <v>141</v>
      </c>
      <c r="H222">
        <v>105</v>
      </c>
      <c r="I222">
        <v>323</v>
      </c>
      <c r="K222" s="3" t="s">
        <v>119</v>
      </c>
    </row>
    <row r="223" spans="1:11" ht="12">
      <c r="A223" t="s">
        <v>339</v>
      </c>
      <c r="B223" t="s">
        <v>340</v>
      </c>
      <c r="C223">
        <v>2.132</v>
      </c>
      <c r="D223">
        <v>1.482</v>
      </c>
      <c r="E223">
        <v>2.48156869</v>
      </c>
      <c r="F223" s="2">
        <v>260</v>
      </c>
      <c r="G223" s="2">
        <v>286</v>
      </c>
      <c r="H223" s="2">
        <v>130</v>
      </c>
      <c r="K223" t="s">
        <v>522</v>
      </c>
    </row>
    <row r="224" spans="1:11" ht="12">
      <c r="A224" t="s">
        <v>276</v>
      </c>
      <c r="B224" t="s">
        <v>340</v>
      </c>
      <c r="C224">
        <f>(3+9)/2</f>
        <v>6</v>
      </c>
      <c r="D224">
        <f>(0.72+1.2)/2</f>
        <v>0.96</v>
      </c>
      <c r="E224">
        <v>4.523904</v>
      </c>
      <c r="F224" s="2">
        <v>200</v>
      </c>
      <c r="G224" s="2">
        <v>500</v>
      </c>
      <c r="H224" s="2">
        <f>(117+240)/2</f>
        <v>178.5</v>
      </c>
      <c r="I224">
        <f>(410+990)/2</f>
        <v>700</v>
      </c>
      <c r="K224" s="2" t="s">
        <v>277</v>
      </c>
    </row>
    <row r="225" spans="1:11" ht="12">
      <c r="A225" t="s">
        <v>416</v>
      </c>
      <c r="B225" t="s">
        <v>340</v>
      </c>
      <c r="C225">
        <v>3.741</v>
      </c>
      <c r="D225">
        <v>0.956</v>
      </c>
      <c r="E225">
        <v>2.80890142</v>
      </c>
      <c r="F225">
        <v>267</v>
      </c>
      <c r="G225">
        <v>212</v>
      </c>
      <c r="H225">
        <v>152</v>
      </c>
      <c r="K225" s="3" t="s">
        <v>227</v>
      </c>
    </row>
    <row r="226" spans="1:11" ht="12">
      <c r="A226" t="s">
        <v>437</v>
      </c>
      <c r="B226" t="s">
        <v>340</v>
      </c>
      <c r="C226">
        <f>(1.501+2.755)/2</f>
        <v>2.128</v>
      </c>
      <c r="D226">
        <f>(0.335+0.502)/2</f>
        <v>0.4185</v>
      </c>
      <c r="E226">
        <v>0.69945211</v>
      </c>
      <c r="F226" s="2">
        <v>335</v>
      </c>
      <c r="G226" s="2">
        <v>154</v>
      </c>
      <c r="H226" s="2">
        <f>(96+128)/2</f>
        <v>112</v>
      </c>
      <c r="K226" s="2" t="s">
        <v>438</v>
      </c>
    </row>
    <row r="227" spans="1:11" ht="12">
      <c r="A227" t="s">
        <v>589</v>
      </c>
      <c r="B227" t="s">
        <v>340</v>
      </c>
      <c r="C227">
        <v>1.4</v>
      </c>
      <c r="D227">
        <v>1.33</v>
      </c>
      <c r="E227">
        <v>1.4624148</v>
      </c>
      <c r="F227" s="2">
        <v>231</v>
      </c>
      <c r="G227" s="2">
        <v>539</v>
      </c>
      <c r="H227" s="2">
        <v>68</v>
      </c>
      <c r="I227">
        <v>447</v>
      </c>
      <c r="K227" s="2" t="s">
        <v>587</v>
      </c>
    </row>
    <row r="228" spans="1:11" ht="12">
      <c r="A228" t="s">
        <v>581</v>
      </c>
      <c r="B228" t="s">
        <v>340</v>
      </c>
      <c r="C228">
        <v>0.747</v>
      </c>
      <c r="D228">
        <v>0.645</v>
      </c>
      <c r="E228">
        <v>0.3784175</v>
      </c>
      <c r="F228" s="2">
        <v>160</v>
      </c>
      <c r="G228" s="2">
        <v>88</v>
      </c>
      <c r="H228" s="2">
        <v>70</v>
      </c>
      <c r="I228">
        <v>124</v>
      </c>
      <c r="K228" s="3" t="s">
        <v>582</v>
      </c>
    </row>
    <row r="229" spans="1:11" ht="12">
      <c r="A229" t="s">
        <v>288</v>
      </c>
      <c r="B229" t="s">
        <v>340</v>
      </c>
      <c r="C229">
        <f>(2.679+5.358)/2</f>
        <v>4.0184999999999995</v>
      </c>
      <c r="D229">
        <f>(0.576+0.798)/2</f>
        <v>0.687</v>
      </c>
      <c r="E229">
        <v>2.16826124</v>
      </c>
      <c r="F229" s="2">
        <v>268</v>
      </c>
      <c r="G229" s="2">
        <v>301</v>
      </c>
      <c r="H229" s="2">
        <v>173</v>
      </c>
      <c r="K229" s="2" t="s">
        <v>462</v>
      </c>
    </row>
    <row r="230" spans="1:11" ht="12">
      <c r="A230" t="s">
        <v>523</v>
      </c>
      <c r="B230" t="s">
        <v>340</v>
      </c>
      <c r="C230">
        <v>2.66</v>
      </c>
      <c r="D230">
        <v>0.71</v>
      </c>
      <c r="E230">
        <v>1.48330644</v>
      </c>
      <c r="F230" s="2">
        <v>350</v>
      </c>
      <c r="G230" s="2">
        <v>510</v>
      </c>
      <c r="H230" s="2">
        <v>100</v>
      </c>
      <c r="K230" t="s">
        <v>524</v>
      </c>
    </row>
    <row r="231" spans="1:11" ht="12">
      <c r="A231" t="s">
        <v>500</v>
      </c>
      <c r="B231" t="s">
        <v>340</v>
      </c>
      <c r="C231">
        <v>0.851</v>
      </c>
      <c r="D231">
        <v>0.859</v>
      </c>
      <c r="E231">
        <v>0.57413447</v>
      </c>
      <c r="F231">
        <v>96</v>
      </c>
      <c r="G231">
        <v>119</v>
      </c>
      <c r="H231">
        <v>52</v>
      </c>
      <c r="I231">
        <v>206</v>
      </c>
      <c r="K231" s="3" t="s">
        <v>640</v>
      </c>
    </row>
    <row r="232" spans="1:11" ht="12">
      <c r="A232" t="s">
        <v>290</v>
      </c>
      <c r="B232" t="s">
        <v>340</v>
      </c>
      <c r="C232">
        <f>(2.508+3.439)/2</f>
        <v>2.9735</v>
      </c>
      <c r="D232">
        <f>(0.836+1.102)/2</f>
        <v>0.9690000000000001</v>
      </c>
      <c r="E232">
        <v>2.26298991</v>
      </c>
      <c r="F232" s="2">
        <v>395</v>
      </c>
      <c r="G232" s="2">
        <v>636</v>
      </c>
      <c r="H232" s="2">
        <f>(192+268)/2</f>
        <v>230</v>
      </c>
      <c r="I232">
        <f>(256+435)/2</f>
        <v>345.5</v>
      </c>
      <c r="K232" s="2" t="s">
        <v>462</v>
      </c>
    </row>
    <row r="233" spans="1:11" ht="12">
      <c r="A233" t="s">
        <v>291</v>
      </c>
      <c r="B233" t="s">
        <v>340</v>
      </c>
      <c r="C233">
        <f>(1.672+1.843)/2</f>
        <v>1.7574999999999998</v>
      </c>
      <c r="D233">
        <f>(0.415+0.636)/2</f>
        <v>0.5255</v>
      </c>
      <c r="E233">
        <v>0.72536893</v>
      </c>
      <c r="F233" s="2">
        <v>166</v>
      </c>
      <c r="G233" s="2">
        <v>352</v>
      </c>
      <c r="H233" s="2">
        <f>(109+144)/2</f>
        <v>126.5</v>
      </c>
      <c r="I233">
        <f>(160+240)/2</f>
        <v>200</v>
      </c>
      <c r="K233" s="2" t="s">
        <v>462</v>
      </c>
    </row>
    <row r="234" spans="1:11" ht="12">
      <c r="A234" t="s">
        <v>427</v>
      </c>
      <c r="B234" t="s">
        <v>340</v>
      </c>
      <c r="C234">
        <v>2.282</v>
      </c>
      <c r="D234">
        <v>0.454</v>
      </c>
      <c r="E234">
        <v>0.81369639</v>
      </c>
      <c r="F234">
        <v>354</v>
      </c>
      <c r="G234">
        <v>197</v>
      </c>
      <c r="H234">
        <v>156</v>
      </c>
      <c r="I234">
        <v>115</v>
      </c>
      <c r="K234" s="3" t="s">
        <v>424</v>
      </c>
    </row>
    <row r="235" spans="1:11" ht="12">
      <c r="A235" t="s">
        <v>317</v>
      </c>
      <c r="B235" t="s">
        <v>340</v>
      </c>
      <c r="C235">
        <v>2.85</v>
      </c>
      <c r="D235">
        <v>0.46</v>
      </c>
      <c r="E235">
        <v>1.0296594</v>
      </c>
      <c r="F235">
        <v>280</v>
      </c>
      <c r="G235">
        <v>200</v>
      </c>
      <c r="H235">
        <v>105</v>
      </c>
      <c r="I235">
        <v>260</v>
      </c>
      <c r="K235" t="s">
        <v>318</v>
      </c>
    </row>
    <row r="236" spans="1:11" ht="12">
      <c r="A236" t="s">
        <v>148</v>
      </c>
      <c r="B236" t="s">
        <v>340</v>
      </c>
      <c r="C236">
        <f>(0.389+0.923)/2</f>
        <v>0.656</v>
      </c>
      <c r="D236">
        <f>(0.138+0.253)/2</f>
        <v>0.1955</v>
      </c>
      <c r="E236">
        <v>0.10072598</v>
      </c>
      <c r="F236" s="2">
        <v>81</v>
      </c>
      <c r="G236" s="2">
        <v>154</v>
      </c>
      <c r="H236" s="2">
        <f>(33+54)/2</f>
        <v>43.5</v>
      </c>
      <c r="K236" s="2" t="s">
        <v>112</v>
      </c>
    </row>
    <row r="237" spans="1:11" ht="12">
      <c r="A237" t="s">
        <v>635</v>
      </c>
      <c r="B237" t="s">
        <v>340</v>
      </c>
      <c r="C237">
        <v>4.799</v>
      </c>
      <c r="D237">
        <v>0.502</v>
      </c>
      <c r="E237">
        <v>1.89210557</v>
      </c>
      <c r="F237">
        <v>126</v>
      </c>
      <c r="G237">
        <v>210</v>
      </c>
      <c r="H237">
        <v>85</v>
      </c>
      <c r="I237">
        <v>1073</v>
      </c>
      <c r="K237" s="3" t="s">
        <v>633</v>
      </c>
    </row>
    <row r="238" spans="1:11" ht="12">
      <c r="A238" t="s">
        <v>634</v>
      </c>
      <c r="B238" s="4" t="s">
        <v>340</v>
      </c>
      <c r="C238">
        <v>2.376</v>
      </c>
      <c r="D238">
        <v>0.47</v>
      </c>
      <c r="E238">
        <v>0.87707189</v>
      </c>
      <c r="F238">
        <v>186</v>
      </c>
      <c r="G238">
        <v>234</v>
      </c>
      <c r="H238">
        <v>101</v>
      </c>
      <c r="I238">
        <v>313</v>
      </c>
      <c r="K238" s="3" t="s">
        <v>633</v>
      </c>
    </row>
    <row r="239" spans="1:11" ht="12">
      <c r="A239" t="s">
        <v>456</v>
      </c>
      <c r="B239" t="s">
        <v>340</v>
      </c>
      <c r="C239">
        <v>2.86</v>
      </c>
      <c r="D239">
        <v>0.68</v>
      </c>
      <c r="E239">
        <v>1.52744592</v>
      </c>
      <c r="F239" s="2">
        <v>300</v>
      </c>
      <c r="G239" s="2">
        <v>300</v>
      </c>
      <c r="H239" s="2">
        <v>180</v>
      </c>
      <c r="K239" s="2" t="s">
        <v>455</v>
      </c>
    </row>
    <row r="240" spans="1:11" ht="12">
      <c r="A240" t="s">
        <v>510</v>
      </c>
      <c r="B240" t="s">
        <v>340</v>
      </c>
      <c r="C240">
        <v>2.423</v>
      </c>
      <c r="D240">
        <v>0.778</v>
      </c>
      <c r="E240">
        <v>1.48055283</v>
      </c>
      <c r="F240">
        <v>381</v>
      </c>
      <c r="G240">
        <v>273</v>
      </c>
      <c r="H240">
        <v>162</v>
      </c>
      <c r="I240">
        <v>131</v>
      </c>
      <c r="K240" s="3" t="s">
        <v>507</v>
      </c>
    </row>
    <row r="241" spans="1:11" ht="12">
      <c r="A241" t="s">
        <v>458</v>
      </c>
      <c r="B241" t="s">
        <v>340</v>
      </c>
      <c r="C241">
        <v>1.95</v>
      </c>
      <c r="D241">
        <v>0.46</v>
      </c>
      <c r="E241">
        <v>0.7045038</v>
      </c>
      <c r="F241" s="2">
        <v>280</v>
      </c>
      <c r="G241" s="2">
        <v>160</v>
      </c>
      <c r="H241" s="2">
        <v>120</v>
      </c>
      <c r="K241" s="2" t="s">
        <v>455</v>
      </c>
    </row>
    <row r="242" spans="1:11" ht="12">
      <c r="A242" t="s">
        <v>512</v>
      </c>
      <c r="B242" t="s">
        <v>340</v>
      </c>
      <c r="C242">
        <v>3.821</v>
      </c>
      <c r="D242">
        <v>1.179</v>
      </c>
      <c r="E242">
        <v>3.5381948</v>
      </c>
      <c r="F242">
        <v>269</v>
      </c>
      <c r="G242">
        <v>312</v>
      </c>
      <c r="H242">
        <v>169</v>
      </c>
      <c r="I242">
        <v>203</v>
      </c>
      <c r="K242" s="3" t="s">
        <v>507</v>
      </c>
    </row>
    <row r="243" spans="1:11" ht="12">
      <c r="A243" t="s">
        <v>460</v>
      </c>
      <c r="B243" t="s">
        <v>340</v>
      </c>
      <c r="C243">
        <v>6.5</v>
      </c>
      <c r="D243">
        <v>0.5</v>
      </c>
      <c r="E243">
        <v>2.55255</v>
      </c>
      <c r="F243" s="2">
        <v>270</v>
      </c>
      <c r="G243" s="2">
        <v>230</v>
      </c>
      <c r="H243" s="2">
        <v>100</v>
      </c>
      <c r="K243" s="2" t="s">
        <v>455</v>
      </c>
    </row>
    <row r="244" spans="1:11" ht="12">
      <c r="A244" t="s">
        <v>511</v>
      </c>
      <c r="B244" t="s">
        <v>340</v>
      </c>
      <c r="C244">
        <v>3.246</v>
      </c>
      <c r="D244">
        <v>0.732</v>
      </c>
      <c r="E244">
        <v>1.86616695</v>
      </c>
      <c r="F244">
        <v>355</v>
      </c>
      <c r="G244">
        <v>279</v>
      </c>
      <c r="H244">
        <v>165</v>
      </c>
      <c r="I244">
        <v>142</v>
      </c>
      <c r="K244" s="3" t="s">
        <v>507</v>
      </c>
    </row>
    <row r="245" spans="1:11" ht="12">
      <c r="A245" t="s">
        <v>454</v>
      </c>
      <c r="B245" t="s">
        <v>340</v>
      </c>
      <c r="C245">
        <f>(4.2+7.2)/2</f>
        <v>5.7</v>
      </c>
      <c r="D245">
        <f>(0.9+2.07)/2</f>
        <v>1.4849999999999999</v>
      </c>
      <c r="E245">
        <v>6.6480183</v>
      </c>
      <c r="F245" s="2">
        <v>380</v>
      </c>
      <c r="G245" s="2">
        <v>440</v>
      </c>
      <c r="H245" s="2">
        <f>(130+230)/2</f>
        <v>180</v>
      </c>
      <c r="K245" s="2" t="s">
        <v>455</v>
      </c>
    </row>
    <row r="246" spans="1:11" ht="12">
      <c r="A246" t="s">
        <v>508</v>
      </c>
      <c r="B246" t="s">
        <v>340</v>
      </c>
      <c r="C246">
        <v>1.195</v>
      </c>
      <c r="D246">
        <v>0.329</v>
      </c>
      <c r="E246">
        <v>0.30878394</v>
      </c>
      <c r="F246">
        <v>115</v>
      </c>
      <c r="G246">
        <v>117</v>
      </c>
      <c r="H246">
        <v>78</v>
      </c>
      <c r="I246">
        <v>91</v>
      </c>
      <c r="K246" s="3" t="s">
        <v>507</v>
      </c>
    </row>
    <row r="247" spans="1:11" ht="12">
      <c r="A247" t="s">
        <v>533</v>
      </c>
      <c r="B247" t="s">
        <v>340</v>
      </c>
      <c r="C247">
        <v>1.83</v>
      </c>
      <c r="D247">
        <v>0.43</v>
      </c>
      <c r="E247">
        <v>0.61803126</v>
      </c>
      <c r="F247" s="2">
        <v>90</v>
      </c>
      <c r="G247" s="2">
        <v>100</v>
      </c>
      <c r="H247" s="2">
        <v>80</v>
      </c>
      <c r="K247" t="s">
        <v>534</v>
      </c>
    </row>
    <row r="248" spans="1:11" ht="12">
      <c r="A248" t="s">
        <v>509</v>
      </c>
      <c r="B248" t="s">
        <v>340</v>
      </c>
      <c r="C248">
        <v>4.175</v>
      </c>
      <c r="D248">
        <v>0.539</v>
      </c>
      <c r="E248">
        <v>1.76740526</v>
      </c>
      <c r="F248">
        <v>159</v>
      </c>
      <c r="G248">
        <v>115</v>
      </c>
      <c r="H248">
        <v>92</v>
      </c>
      <c r="I248">
        <v>192</v>
      </c>
      <c r="K248" s="3" t="s">
        <v>507</v>
      </c>
    </row>
    <row r="249" spans="1:11" ht="12">
      <c r="A249" t="s">
        <v>459</v>
      </c>
      <c r="B249" t="s">
        <v>340</v>
      </c>
      <c r="C249">
        <v>6.05</v>
      </c>
      <c r="D249">
        <v>0.43</v>
      </c>
      <c r="E249">
        <v>2.0432181</v>
      </c>
      <c r="F249" s="2">
        <v>200</v>
      </c>
      <c r="G249" s="2">
        <v>240</v>
      </c>
      <c r="H249" s="2">
        <v>100</v>
      </c>
      <c r="K249" s="2" t="s">
        <v>455</v>
      </c>
    </row>
    <row r="250" spans="1:11" ht="12">
      <c r="A250" t="s">
        <v>457</v>
      </c>
      <c r="B250" t="s">
        <v>340</v>
      </c>
      <c r="C250">
        <v>2.61</v>
      </c>
      <c r="D250">
        <v>0.75</v>
      </c>
      <c r="E250">
        <v>1.5374205</v>
      </c>
      <c r="F250" s="2">
        <v>310</v>
      </c>
      <c r="G250" s="2">
        <v>250</v>
      </c>
      <c r="H250" s="2">
        <v>110</v>
      </c>
      <c r="K250" s="2" t="s">
        <v>455</v>
      </c>
    </row>
    <row r="251" spans="1:11" ht="12">
      <c r="A251" t="s">
        <v>513</v>
      </c>
      <c r="B251" t="s">
        <v>340</v>
      </c>
      <c r="C251">
        <v>2.131</v>
      </c>
      <c r="D251">
        <v>0.673</v>
      </c>
      <c r="E251">
        <v>1.12639162</v>
      </c>
      <c r="F251">
        <v>205</v>
      </c>
      <c r="G251">
        <v>188</v>
      </c>
      <c r="H251">
        <v>165</v>
      </c>
      <c r="I251">
        <v>135</v>
      </c>
      <c r="K251" s="3" t="s">
        <v>507</v>
      </c>
    </row>
    <row r="252" spans="1:11" ht="12">
      <c r="A252" t="s">
        <v>469</v>
      </c>
      <c r="B252" t="s">
        <v>340</v>
      </c>
      <c r="C252">
        <v>1.002</v>
      </c>
      <c r="D252">
        <v>0.75</v>
      </c>
      <c r="E252">
        <v>0.5902281</v>
      </c>
      <c r="F252">
        <v>116</v>
      </c>
      <c r="G252">
        <v>220</v>
      </c>
      <c r="H252">
        <v>71</v>
      </c>
      <c r="I252">
        <v>303</v>
      </c>
      <c r="K252" s="3" t="s">
        <v>640</v>
      </c>
    </row>
    <row r="253" spans="1:11" ht="12">
      <c r="A253" t="s">
        <v>55</v>
      </c>
      <c r="B253" t="s">
        <v>340</v>
      </c>
      <c r="C253">
        <v>0.452</v>
      </c>
      <c r="D253">
        <v>0.168</v>
      </c>
      <c r="E253">
        <v>0.05964013</v>
      </c>
      <c r="F253">
        <v>78</v>
      </c>
      <c r="G253">
        <v>67</v>
      </c>
      <c r="H253">
        <v>75</v>
      </c>
      <c r="I253">
        <v>61</v>
      </c>
      <c r="K253" s="3" t="s">
        <v>54</v>
      </c>
    </row>
    <row r="254" spans="1:11" ht="12">
      <c r="A254" t="s">
        <v>586</v>
      </c>
      <c r="B254" t="s">
        <v>340</v>
      </c>
      <c r="C254">
        <f>(0.938+1.036)/2</f>
        <v>0.987</v>
      </c>
      <c r="D254">
        <f>(0.622+0.728)/2</f>
        <v>0.675</v>
      </c>
      <c r="E254">
        <v>0.52325312</v>
      </c>
      <c r="F254" s="2">
        <v>200</v>
      </c>
      <c r="G254" s="2">
        <v>184</v>
      </c>
      <c r="H254" s="2">
        <f>(100+115)/2</f>
        <v>107.5</v>
      </c>
      <c r="I254">
        <f>(268+342)/2</f>
        <v>305</v>
      </c>
      <c r="K254" s="2" t="s">
        <v>587</v>
      </c>
    </row>
    <row r="255" spans="1:11" ht="12">
      <c r="A255" t="s">
        <v>463</v>
      </c>
      <c r="B255" t="s">
        <v>340</v>
      </c>
      <c r="C255">
        <v>2.751</v>
      </c>
      <c r="D255">
        <v>1.13</v>
      </c>
      <c r="E255">
        <v>2.441518</v>
      </c>
      <c r="F255">
        <v>277</v>
      </c>
      <c r="G255">
        <v>223</v>
      </c>
      <c r="H255">
        <v>142</v>
      </c>
      <c r="I255">
        <v>167</v>
      </c>
      <c r="K255" s="3" t="s">
        <v>640</v>
      </c>
    </row>
    <row r="256" spans="1:11" ht="12">
      <c r="A256" t="s">
        <v>466</v>
      </c>
      <c r="B256" t="s">
        <v>340</v>
      </c>
      <c r="C256">
        <v>1.023</v>
      </c>
      <c r="D256">
        <v>0.4</v>
      </c>
      <c r="E256">
        <v>0.32138568</v>
      </c>
      <c r="F256">
        <v>145</v>
      </c>
      <c r="G256">
        <v>152</v>
      </c>
      <c r="H256">
        <v>89</v>
      </c>
      <c r="I256">
        <v>121</v>
      </c>
      <c r="K256" s="3" t="s">
        <v>640</v>
      </c>
    </row>
    <row r="257" spans="1:11" ht="12">
      <c r="A257" t="s">
        <v>156</v>
      </c>
      <c r="B257" t="s">
        <v>340</v>
      </c>
      <c r="C257">
        <f>(0.72+1.28)/2</f>
        <v>1</v>
      </c>
      <c r="D257">
        <f>(0.51+0.976)/2</f>
        <v>0.743</v>
      </c>
      <c r="E257">
        <v>0.5835522</v>
      </c>
      <c r="F257" s="2">
        <v>296</v>
      </c>
      <c r="G257" s="2">
        <v>230</v>
      </c>
      <c r="H257" s="2">
        <f>(97+183)/2</f>
        <v>140</v>
      </c>
      <c r="I257">
        <f>(175+350)/2</f>
        <v>262.5</v>
      </c>
      <c r="K257" s="2" t="s">
        <v>154</v>
      </c>
    </row>
    <row r="258" spans="1:11" ht="12">
      <c r="A258" t="s">
        <v>590</v>
      </c>
      <c r="B258" t="s">
        <v>340</v>
      </c>
      <c r="C258">
        <f>(2.205+2.74)/2</f>
        <v>2.4725</v>
      </c>
      <c r="D258">
        <f>(0.74+1.068)/2</f>
        <v>0.904</v>
      </c>
      <c r="E258">
        <v>1.75547896</v>
      </c>
      <c r="F258" s="2">
        <v>339</v>
      </c>
      <c r="G258" s="2">
        <v>189</v>
      </c>
      <c r="H258" s="2">
        <f>(99+126)/2</f>
        <v>112.5</v>
      </c>
      <c r="K258" s="2" t="s">
        <v>587</v>
      </c>
    </row>
    <row r="259" spans="1:11" ht="12">
      <c r="A259" t="s">
        <v>157</v>
      </c>
      <c r="B259" t="s">
        <v>340</v>
      </c>
      <c r="C259">
        <f>(0.8+1.01)/2</f>
        <v>0.905</v>
      </c>
      <c r="D259">
        <f>(0.91+0.99)/2</f>
        <v>0.95</v>
      </c>
      <c r="E259">
        <v>0.67524765</v>
      </c>
      <c r="F259" s="2">
        <v>167</v>
      </c>
      <c r="G259" s="2">
        <v>576</v>
      </c>
      <c r="H259" s="2">
        <f>(58+78)/2</f>
        <v>68</v>
      </c>
      <c r="K259" s="2" t="s">
        <v>154</v>
      </c>
    </row>
    <row r="260" spans="1:11" ht="12">
      <c r="A260" t="s">
        <v>301</v>
      </c>
      <c r="B260" t="s">
        <v>340</v>
      </c>
      <c r="C260">
        <v>0.732</v>
      </c>
      <c r="D260">
        <v>0.635</v>
      </c>
      <c r="E260">
        <v>0.36506963</v>
      </c>
      <c r="F260">
        <v>133</v>
      </c>
      <c r="G260">
        <v>226</v>
      </c>
      <c r="H260">
        <v>83</v>
      </c>
      <c r="I260">
        <v>221</v>
      </c>
      <c r="K260" s="3" t="s">
        <v>119</v>
      </c>
    </row>
    <row r="261" spans="1:11" ht="12">
      <c r="A261" t="s">
        <v>588</v>
      </c>
      <c r="B261" t="s">
        <v>340</v>
      </c>
      <c r="C261">
        <f>(1.159+1.748)/2</f>
        <v>1.4535</v>
      </c>
      <c r="D261">
        <f>(0.817+1.045)/2</f>
        <v>0.9309999999999999</v>
      </c>
      <c r="E261">
        <v>1.06280996</v>
      </c>
      <c r="F261" s="2">
        <v>180</v>
      </c>
      <c r="G261" s="2">
        <v>255</v>
      </c>
      <c r="H261" s="2">
        <f>(96+107)/2</f>
        <v>101.5</v>
      </c>
      <c r="I261">
        <f>(288+368)/2</f>
        <v>328</v>
      </c>
      <c r="K261" s="2" t="s">
        <v>587</v>
      </c>
    </row>
    <row r="262" spans="1:11" ht="12">
      <c r="A262" t="s">
        <v>467</v>
      </c>
      <c r="B262" t="s">
        <v>340</v>
      </c>
      <c r="C262">
        <v>1.575</v>
      </c>
      <c r="D262">
        <v>0.573</v>
      </c>
      <c r="E262">
        <v>0.70880387</v>
      </c>
      <c r="F262">
        <v>145</v>
      </c>
      <c r="G262">
        <v>296</v>
      </c>
      <c r="H262">
        <v>107</v>
      </c>
      <c r="I262">
        <v>313</v>
      </c>
      <c r="K262" s="3" t="s">
        <v>640</v>
      </c>
    </row>
    <row r="263" spans="1:11" ht="12">
      <c r="A263" t="s">
        <v>212</v>
      </c>
      <c r="B263" t="s">
        <v>340</v>
      </c>
      <c r="C263">
        <v>1.58</v>
      </c>
      <c r="D263">
        <v>0.615</v>
      </c>
      <c r="E263">
        <v>0.76317318</v>
      </c>
      <c r="F263">
        <v>100</v>
      </c>
      <c r="G263">
        <v>167</v>
      </c>
      <c r="H263">
        <v>58</v>
      </c>
      <c r="I263">
        <v>351</v>
      </c>
      <c r="K263" s="3" t="s">
        <v>211</v>
      </c>
    </row>
    <row r="264" spans="1:11" ht="12">
      <c r="A264" t="s">
        <v>289</v>
      </c>
      <c r="B264" t="s">
        <v>340</v>
      </c>
      <c r="C264">
        <f>(1.368+1.862)/2</f>
        <v>1.6150000000000002</v>
      </c>
      <c r="D264">
        <f>(0.569+0.76)/2</f>
        <v>0.6645</v>
      </c>
      <c r="E264">
        <v>0.84286575</v>
      </c>
      <c r="F264" s="2">
        <v>160</v>
      </c>
      <c r="G264" s="2">
        <v>144</v>
      </c>
      <c r="H264" s="2">
        <f>(64+80)/2</f>
        <v>72</v>
      </c>
      <c r="I264">
        <f>(100+144)/2</f>
        <v>122</v>
      </c>
      <c r="K264" s="2" t="s">
        <v>462</v>
      </c>
    </row>
    <row r="265" spans="1:11" ht="12">
      <c r="A265" t="s">
        <v>120</v>
      </c>
      <c r="B265" t="s">
        <v>340</v>
      </c>
      <c r="C265">
        <v>0.733</v>
      </c>
      <c r="D265">
        <v>0.864</v>
      </c>
      <c r="E265">
        <v>0.49740324</v>
      </c>
      <c r="F265">
        <v>147</v>
      </c>
      <c r="G265">
        <v>418</v>
      </c>
      <c r="H265">
        <v>92</v>
      </c>
      <c r="I265">
        <v>294</v>
      </c>
      <c r="K265" s="3" t="s">
        <v>119</v>
      </c>
    </row>
    <row r="266" spans="1:11" ht="12">
      <c r="A266" t="s">
        <v>464</v>
      </c>
      <c r="B266" s="4" t="s">
        <v>340</v>
      </c>
      <c r="C266">
        <v>4.688</v>
      </c>
      <c r="D266">
        <v>0.409</v>
      </c>
      <c r="E266">
        <v>1.50591968</v>
      </c>
      <c r="F266">
        <v>323</v>
      </c>
      <c r="G266">
        <v>181</v>
      </c>
      <c r="H266">
        <v>121</v>
      </c>
      <c r="I266">
        <v>412</v>
      </c>
      <c r="K266" s="3" t="s">
        <v>640</v>
      </c>
    </row>
    <row r="267" spans="1:11" ht="12">
      <c r="A267" t="s">
        <v>532</v>
      </c>
      <c r="B267" t="s">
        <v>340</v>
      </c>
      <c r="C267">
        <v>1.15</v>
      </c>
      <c r="D267">
        <v>0.35</v>
      </c>
      <c r="E267">
        <v>0.3161235</v>
      </c>
      <c r="F267" s="2">
        <v>180</v>
      </c>
      <c r="G267" s="2">
        <v>130</v>
      </c>
      <c r="H267" s="2">
        <v>90</v>
      </c>
      <c r="K267" t="s">
        <v>531</v>
      </c>
    </row>
    <row r="268" spans="1:11" ht="12">
      <c r="A268" t="s">
        <v>155</v>
      </c>
      <c r="B268" t="s">
        <v>340</v>
      </c>
      <c r="C268">
        <f>(2.03+3.12)/2</f>
        <v>2.575</v>
      </c>
      <c r="D268">
        <f>(0.448+0.64)/2</f>
        <v>0.544</v>
      </c>
      <c r="E268">
        <v>1.10018832</v>
      </c>
      <c r="F268" s="2">
        <v>124</v>
      </c>
      <c r="G268" s="2">
        <v>148</v>
      </c>
      <c r="H268" s="2">
        <f>(66+93)/2</f>
        <v>79.5</v>
      </c>
      <c r="I268">
        <f>(290+360)/2</f>
        <v>325</v>
      </c>
      <c r="K268" s="2" t="s">
        <v>154</v>
      </c>
    </row>
    <row r="269" spans="1:11" ht="12">
      <c r="A269" t="s">
        <v>158</v>
      </c>
      <c r="B269" t="s">
        <v>340</v>
      </c>
      <c r="C269">
        <f>(1.04+1.96)/2</f>
        <v>1.5</v>
      </c>
      <c r="D269">
        <f>(0.64+0.8)/2</f>
        <v>0.72</v>
      </c>
      <c r="E269">
        <v>0.848232</v>
      </c>
      <c r="F269" s="2">
        <v>176</v>
      </c>
      <c r="G269" s="2">
        <v>273</v>
      </c>
      <c r="H269" s="2">
        <f>(59+71)/2</f>
        <v>65</v>
      </c>
      <c r="I269">
        <f>(312+340)/2</f>
        <v>326</v>
      </c>
      <c r="K269" s="2" t="s">
        <v>154</v>
      </c>
    </row>
    <row r="270" spans="1:11" ht="12">
      <c r="A270" t="s">
        <v>609</v>
      </c>
      <c r="B270" t="s">
        <v>340</v>
      </c>
      <c r="C270">
        <f>(1.374+2.848)/2</f>
        <v>2.1109999999999998</v>
      </c>
      <c r="D270">
        <f>(0.355+0.677)/2</f>
        <v>0.516</v>
      </c>
      <c r="E270">
        <v>0.85551737</v>
      </c>
      <c r="F270" s="2">
        <v>181</v>
      </c>
      <c r="G270" s="2">
        <v>409</v>
      </c>
      <c r="H270" s="2">
        <f>(60+114)/2</f>
        <v>87</v>
      </c>
      <c r="I270">
        <f>(296+502)/2</f>
        <v>399</v>
      </c>
      <c r="K270" s="2" t="s">
        <v>610</v>
      </c>
    </row>
    <row r="271" spans="1:11" ht="12">
      <c r="A271" t="s">
        <v>422</v>
      </c>
      <c r="B271" t="s">
        <v>340</v>
      </c>
      <c r="C271">
        <v>6.431</v>
      </c>
      <c r="D271">
        <v>0.58</v>
      </c>
      <c r="E271">
        <v>2.92952629</v>
      </c>
      <c r="F271">
        <v>295</v>
      </c>
      <c r="G271">
        <v>331</v>
      </c>
      <c r="H271">
        <v>162</v>
      </c>
      <c r="I271">
        <v>359</v>
      </c>
      <c r="K271" s="3" t="s">
        <v>423</v>
      </c>
    </row>
    <row r="272" spans="1:11" ht="12">
      <c r="A272" t="s">
        <v>403</v>
      </c>
      <c r="B272" t="s">
        <v>340</v>
      </c>
      <c r="C272">
        <v>2.916</v>
      </c>
      <c r="D272">
        <v>1.061</v>
      </c>
      <c r="E272">
        <v>2.42993021</v>
      </c>
      <c r="F272" s="2">
        <v>373</v>
      </c>
      <c r="G272" s="2">
        <v>389</v>
      </c>
      <c r="H272" s="2">
        <v>205</v>
      </c>
      <c r="K272" s="3" t="s">
        <v>573</v>
      </c>
    </row>
    <row r="273" spans="1:11" ht="12">
      <c r="A273" t="s">
        <v>414</v>
      </c>
      <c r="B273" t="s">
        <v>340</v>
      </c>
      <c r="C273">
        <v>1.391</v>
      </c>
      <c r="D273">
        <v>0.307</v>
      </c>
      <c r="E273">
        <v>0.33539486</v>
      </c>
      <c r="F273">
        <v>132</v>
      </c>
      <c r="G273">
        <v>148</v>
      </c>
      <c r="H273">
        <v>96</v>
      </c>
      <c r="I273">
        <v>143</v>
      </c>
      <c r="K273" s="3" t="s">
        <v>227</v>
      </c>
    </row>
    <row r="274" spans="1:11" ht="12">
      <c r="A274" t="s">
        <v>415</v>
      </c>
      <c r="B274" t="s">
        <v>340</v>
      </c>
      <c r="C274">
        <v>1.775</v>
      </c>
      <c r="D274">
        <v>0.436</v>
      </c>
      <c r="E274">
        <v>0.60782106</v>
      </c>
      <c r="F274">
        <v>175</v>
      </c>
      <c r="G274">
        <v>273</v>
      </c>
      <c r="H274">
        <v>147</v>
      </c>
      <c r="I274">
        <v>263</v>
      </c>
      <c r="K274" s="3" t="s">
        <v>227</v>
      </c>
    </row>
    <row r="275" spans="1:11" ht="12">
      <c r="A275" t="s">
        <v>153</v>
      </c>
      <c r="B275" t="s">
        <v>340</v>
      </c>
      <c r="C275">
        <f>(1.488+2.64)/2</f>
        <v>2.064</v>
      </c>
      <c r="D275">
        <f>(0.832+1.552)/2</f>
        <v>1.192</v>
      </c>
      <c r="E275">
        <v>1.9323102</v>
      </c>
      <c r="F275" s="2">
        <v>137</v>
      </c>
      <c r="G275" s="2">
        <v>203</v>
      </c>
      <c r="H275" s="2">
        <f>(59+86)/2</f>
        <v>72.5</v>
      </c>
      <c r="I275">
        <f>(242+390)/2</f>
        <v>316</v>
      </c>
      <c r="K275" s="2" t="s">
        <v>154</v>
      </c>
    </row>
    <row r="276" spans="1:11" ht="12">
      <c r="A276" t="s">
        <v>638</v>
      </c>
      <c r="B276" t="s">
        <v>340</v>
      </c>
      <c r="C276">
        <v>2.513</v>
      </c>
      <c r="D276">
        <v>0.329</v>
      </c>
      <c r="E276">
        <v>0.64935066</v>
      </c>
      <c r="F276">
        <v>94</v>
      </c>
      <c r="G276">
        <v>91</v>
      </c>
      <c r="H276">
        <v>51</v>
      </c>
      <c r="I276">
        <v>315</v>
      </c>
      <c r="K276" s="3" t="s">
        <v>639</v>
      </c>
    </row>
    <row r="277" spans="1:11" ht="12">
      <c r="A277" t="s">
        <v>159</v>
      </c>
      <c r="B277" t="s">
        <v>340</v>
      </c>
      <c r="C277">
        <f>(0.992+1.504)/2</f>
        <v>1.248</v>
      </c>
      <c r="D277">
        <f>(1.2+1.6)/2</f>
        <v>1.4</v>
      </c>
      <c r="E277">
        <v>1.37225088</v>
      </c>
      <c r="F277" s="2">
        <v>156</v>
      </c>
      <c r="G277" s="2">
        <v>163</v>
      </c>
      <c r="H277" s="2">
        <f>(71+140)/2</f>
        <v>105.5</v>
      </c>
      <c r="I277">
        <f>(288+400)/2</f>
        <v>344</v>
      </c>
      <c r="K277" s="2" t="s">
        <v>154</v>
      </c>
    </row>
    <row r="278" spans="1:11" ht="12">
      <c r="A278" t="s">
        <v>501</v>
      </c>
      <c r="B278" t="s">
        <v>340</v>
      </c>
      <c r="C278">
        <v>1.889</v>
      </c>
      <c r="D278">
        <v>0.415</v>
      </c>
      <c r="E278">
        <v>0.61570255</v>
      </c>
      <c r="F278">
        <v>145</v>
      </c>
      <c r="G278">
        <v>320</v>
      </c>
      <c r="H278">
        <v>95</v>
      </c>
      <c r="I278">
        <v>330</v>
      </c>
      <c r="K278" s="3" t="s">
        <v>640</v>
      </c>
    </row>
    <row r="279" spans="1:11" ht="12">
      <c r="A279" t="s">
        <v>429</v>
      </c>
      <c r="B279" t="s">
        <v>340</v>
      </c>
      <c r="C279">
        <v>2.39</v>
      </c>
      <c r="D279">
        <v>0.413</v>
      </c>
      <c r="E279">
        <v>0.77524478</v>
      </c>
      <c r="F279">
        <v>174</v>
      </c>
      <c r="G279">
        <v>146</v>
      </c>
      <c r="H279">
        <v>113</v>
      </c>
      <c r="I279">
        <v>159</v>
      </c>
      <c r="K279" s="3" t="s">
        <v>424</v>
      </c>
    </row>
    <row r="280" spans="1:11" ht="12">
      <c r="A280" t="s">
        <v>428</v>
      </c>
      <c r="B280" t="s">
        <v>340</v>
      </c>
      <c r="C280">
        <v>3.819</v>
      </c>
      <c r="D280">
        <v>0.515</v>
      </c>
      <c r="E280">
        <v>1.54471294</v>
      </c>
      <c r="F280">
        <v>249</v>
      </c>
      <c r="G280">
        <v>237</v>
      </c>
      <c r="H280">
        <v>145</v>
      </c>
      <c r="I280">
        <v>235</v>
      </c>
      <c r="K280" s="3" t="s">
        <v>424</v>
      </c>
    </row>
    <row r="281" spans="1:11" ht="12">
      <c r="A281" t="s">
        <v>26</v>
      </c>
      <c r="B281" t="s">
        <v>248</v>
      </c>
      <c r="C281">
        <v>3.1</v>
      </c>
      <c r="D281">
        <v>0.3</v>
      </c>
      <c r="E281">
        <v>0.730422</v>
      </c>
      <c r="F281" s="2">
        <v>250</v>
      </c>
      <c r="G281" s="2">
        <v>267</v>
      </c>
      <c r="H281" s="2">
        <v>76</v>
      </c>
      <c r="I281">
        <v>205</v>
      </c>
      <c r="K281" s="3" t="s">
        <v>25</v>
      </c>
    </row>
    <row r="282" spans="1:11" ht="12">
      <c r="A282" t="s">
        <v>274</v>
      </c>
      <c r="B282" t="s">
        <v>248</v>
      </c>
      <c r="C282">
        <f>(2.1+2.6)/2</f>
        <v>2.35</v>
      </c>
      <c r="D282">
        <f>(0.45+0.56)/2</f>
        <v>0.505</v>
      </c>
      <c r="E282">
        <v>0.93207345</v>
      </c>
      <c r="F282" s="2">
        <v>180</v>
      </c>
      <c r="G282" s="2">
        <v>210</v>
      </c>
      <c r="H282" s="2">
        <f>(80+100)/2</f>
        <v>90</v>
      </c>
      <c r="I282">
        <v>240</v>
      </c>
      <c r="K282" s="2" t="s">
        <v>275</v>
      </c>
    </row>
    <row r="283" spans="1:11" ht="12">
      <c r="A283" t="s">
        <v>357</v>
      </c>
      <c r="B283" t="s">
        <v>248</v>
      </c>
      <c r="C283">
        <f>(1.22+4.39)/2</f>
        <v>2.8049999999999997</v>
      </c>
      <c r="D283">
        <f>(1.19+3)/2</f>
        <v>2.0949999999999998</v>
      </c>
      <c r="E283">
        <v>4.61538347</v>
      </c>
      <c r="F283" s="2">
        <v>121</v>
      </c>
      <c r="G283" s="2">
        <v>108</v>
      </c>
      <c r="H283" s="2">
        <f>(44+77)/2</f>
        <v>60.5</v>
      </c>
      <c r="I283">
        <f>(106+299)/2</f>
        <v>202.5</v>
      </c>
      <c r="K283" s="3" t="s">
        <v>358</v>
      </c>
    </row>
    <row r="284" spans="1:11" ht="12">
      <c r="A284" t="s">
        <v>583</v>
      </c>
      <c r="B284" t="s">
        <v>248</v>
      </c>
      <c r="C284">
        <v>3.3</v>
      </c>
      <c r="D284">
        <v>0.7</v>
      </c>
      <c r="E284">
        <v>1.814274</v>
      </c>
      <c r="F284" s="2">
        <v>214</v>
      </c>
      <c r="G284" s="2">
        <v>201</v>
      </c>
      <c r="H284" s="2">
        <v>262</v>
      </c>
      <c r="K284" s="3" t="s">
        <v>584</v>
      </c>
    </row>
    <row r="285" spans="1:11" ht="12">
      <c r="A285" t="s">
        <v>24</v>
      </c>
      <c r="B285" t="s">
        <v>248</v>
      </c>
      <c r="C285">
        <v>2.8</v>
      </c>
      <c r="D285">
        <v>0.3</v>
      </c>
      <c r="E285">
        <v>0.659736</v>
      </c>
      <c r="F285" s="2">
        <v>170</v>
      </c>
      <c r="G285" s="2">
        <v>193</v>
      </c>
      <c r="H285" s="2">
        <v>69</v>
      </c>
      <c r="I285">
        <v>190</v>
      </c>
      <c r="K285" s="3" t="s">
        <v>25</v>
      </c>
    </row>
    <row r="286" spans="1:11" ht="12">
      <c r="A286" t="s">
        <v>410</v>
      </c>
      <c r="B286" t="s">
        <v>248</v>
      </c>
      <c r="C286">
        <v>8.8</v>
      </c>
      <c r="D286">
        <v>0.46</v>
      </c>
      <c r="E286">
        <v>3.1792992</v>
      </c>
      <c r="F286" s="2">
        <v>165</v>
      </c>
      <c r="G286" s="2">
        <v>150</v>
      </c>
      <c r="H286" s="2">
        <v>88</v>
      </c>
      <c r="I286">
        <v>586</v>
      </c>
      <c r="K286" s="3" t="s">
        <v>228</v>
      </c>
    </row>
    <row r="287" spans="1:11" ht="12">
      <c r="A287" t="s">
        <v>296</v>
      </c>
      <c r="B287" t="s">
        <v>248</v>
      </c>
      <c r="C287">
        <v>2.739</v>
      </c>
      <c r="D287">
        <v>0.5882</v>
      </c>
      <c r="E287">
        <v>1.26534207</v>
      </c>
      <c r="F287">
        <v>400</v>
      </c>
      <c r="G287">
        <v>370</v>
      </c>
      <c r="H287">
        <v>125.4</v>
      </c>
      <c r="K287" s="3" t="s">
        <v>297</v>
      </c>
    </row>
    <row r="288" spans="1:11" ht="12">
      <c r="A288" t="s">
        <v>170</v>
      </c>
      <c r="B288" t="s">
        <v>248</v>
      </c>
      <c r="C288">
        <v>1.813</v>
      </c>
      <c r="D288">
        <v>0.428</v>
      </c>
      <c r="E288">
        <v>0.60944213</v>
      </c>
      <c r="F288">
        <v>193</v>
      </c>
      <c r="G288">
        <v>113</v>
      </c>
      <c r="H288">
        <v>110</v>
      </c>
      <c r="I288">
        <v>171</v>
      </c>
      <c r="K288" s="3" t="s">
        <v>169</v>
      </c>
    </row>
    <row r="289" spans="1:11" ht="12">
      <c r="A289" t="s">
        <v>452</v>
      </c>
      <c r="B289" t="s">
        <v>248</v>
      </c>
      <c r="C289">
        <v>3</v>
      </c>
      <c r="D289">
        <v>0.928</v>
      </c>
      <c r="E289">
        <v>2.1865536</v>
      </c>
      <c r="F289" s="2">
        <v>351</v>
      </c>
      <c r="G289" s="2">
        <v>293</v>
      </c>
      <c r="H289" s="2">
        <v>102</v>
      </c>
      <c r="I289">
        <v>366</v>
      </c>
      <c r="K289" s="2" t="s">
        <v>453</v>
      </c>
    </row>
    <row r="290" spans="1:11" ht="12">
      <c r="A290" t="s">
        <v>256</v>
      </c>
      <c r="B290" t="s">
        <v>248</v>
      </c>
      <c r="C290">
        <v>3.83</v>
      </c>
      <c r="D290">
        <v>0.94</v>
      </c>
      <c r="E290">
        <v>2.82759708</v>
      </c>
      <c r="F290">
        <v>398</v>
      </c>
      <c r="G290">
        <v>260</v>
      </c>
      <c r="H290">
        <v>156</v>
      </c>
      <c r="I290">
        <v>224</v>
      </c>
      <c r="K290" s="3" t="s">
        <v>257</v>
      </c>
    </row>
    <row r="291" spans="1:11" ht="12">
      <c r="A291" t="s">
        <v>23</v>
      </c>
      <c r="B291" t="s">
        <v>248</v>
      </c>
      <c r="C291">
        <f>(1.96+2.3)/2</f>
        <v>2.13</v>
      </c>
      <c r="D291">
        <f>(0.66+0.74)/2</f>
        <v>0.7</v>
      </c>
      <c r="E291">
        <v>1.1710314</v>
      </c>
      <c r="F291" s="2">
        <v>300</v>
      </c>
      <c r="G291" s="2">
        <v>156</v>
      </c>
      <c r="H291" s="2">
        <f>(144+156)/2</f>
        <v>150</v>
      </c>
      <c r="I291">
        <f>(372+384)/2</f>
        <v>378</v>
      </c>
      <c r="K291" s="3" t="s">
        <v>22</v>
      </c>
    </row>
    <row r="292" spans="1:11" ht="12">
      <c r="A292" t="s">
        <v>171</v>
      </c>
      <c r="B292" t="s">
        <v>248</v>
      </c>
      <c r="C292">
        <v>2.105</v>
      </c>
      <c r="D292">
        <v>0.464</v>
      </c>
      <c r="E292">
        <v>0.76711589</v>
      </c>
      <c r="F292">
        <v>216</v>
      </c>
      <c r="G292">
        <v>115</v>
      </c>
      <c r="H292">
        <v>131</v>
      </c>
      <c r="I292">
        <v>280</v>
      </c>
      <c r="K292" s="3" t="s">
        <v>169</v>
      </c>
    </row>
    <row r="293" spans="1:11" ht="12">
      <c r="A293" t="s">
        <v>204</v>
      </c>
      <c r="B293" t="s">
        <v>248</v>
      </c>
      <c r="C293">
        <v>1.4</v>
      </c>
      <c r="D293">
        <v>0.5</v>
      </c>
      <c r="E293">
        <v>0.54978</v>
      </c>
      <c r="F293" s="2">
        <v>242</v>
      </c>
      <c r="G293" s="2">
        <v>254</v>
      </c>
      <c r="H293" s="2">
        <v>90</v>
      </c>
      <c r="I293">
        <v>255</v>
      </c>
      <c r="K293" s="3" t="s">
        <v>205</v>
      </c>
    </row>
    <row r="294" spans="1:11" ht="12">
      <c r="A294" t="s">
        <v>247</v>
      </c>
      <c r="B294" t="s">
        <v>248</v>
      </c>
      <c r="C294">
        <v>2.24</v>
      </c>
      <c r="D294">
        <v>0.38</v>
      </c>
      <c r="E294">
        <v>0.66853248</v>
      </c>
      <c r="F294" s="2">
        <v>89</v>
      </c>
      <c r="G294" s="2">
        <v>132</v>
      </c>
      <c r="H294" s="2"/>
      <c r="K294" t="s">
        <v>249</v>
      </c>
    </row>
    <row r="295" spans="1:11" ht="12">
      <c r="A295" t="s">
        <v>401</v>
      </c>
      <c r="B295" t="s">
        <v>248</v>
      </c>
      <c r="C295">
        <v>1.951</v>
      </c>
      <c r="D295">
        <v>0.213</v>
      </c>
      <c r="E295">
        <v>0.32638318</v>
      </c>
      <c r="F295" s="2">
        <v>89</v>
      </c>
      <c r="G295" s="2">
        <v>96</v>
      </c>
      <c r="H295" s="2">
        <v>52</v>
      </c>
      <c r="K295" s="3" t="s">
        <v>402</v>
      </c>
    </row>
    <row r="296" spans="1:11" ht="12">
      <c r="A296" t="s">
        <v>186</v>
      </c>
      <c r="B296" t="s">
        <v>248</v>
      </c>
      <c r="C296">
        <v>0.734</v>
      </c>
      <c r="D296">
        <v>0.235</v>
      </c>
      <c r="E296">
        <v>0.13547365</v>
      </c>
      <c r="F296">
        <v>132</v>
      </c>
      <c r="G296">
        <v>129</v>
      </c>
      <c r="H296">
        <v>46</v>
      </c>
      <c r="I296">
        <v>173</v>
      </c>
      <c r="K296" t="s">
        <v>187</v>
      </c>
    </row>
    <row r="297" spans="1:11" ht="12">
      <c r="A297" t="s">
        <v>113</v>
      </c>
      <c r="B297" t="s">
        <v>248</v>
      </c>
      <c r="C297">
        <v>1.011</v>
      </c>
      <c r="D297">
        <v>0.296</v>
      </c>
      <c r="E297">
        <v>0.23503566</v>
      </c>
      <c r="F297">
        <v>154</v>
      </c>
      <c r="G297">
        <v>217</v>
      </c>
      <c r="H297">
        <v>51</v>
      </c>
      <c r="I297">
        <v>133</v>
      </c>
      <c r="K297" s="3" t="s">
        <v>114</v>
      </c>
    </row>
    <row r="298" spans="1:11" ht="12">
      <c r="A298" t="s">
        <v>4</v>
      </c>
      <c r="B298" t="s">
        <v>248</v>
      </c>
      <c r="C298">
        <v>1.625</v>
      </c>
      <c r="D298">
        <v>0.51</v>
      </c>
      <c r="E298">
        <v>0.65090025</v>
      </c>
      <c r="F298">
        <v>380</v>
      </c>
      <c r="G298">
        <v>150</v>
      </c>
      <c r="H298">
        <v>123</v>
      </c>
      <c r="I298">
        <v>265</v>
      </c>
      <c r="K298" s="3" t="s">
        <v>3</v>
      </c>
    </row>
    <row r="299" spans="1:11" ht="12">
      <c r="A299" t="s">
        <v>9</v>
      </c>
      <c r="B299" t="s">
        <v>10</v>
      </c>
      <c r="C299">
        <v>0.335</v>
      </c>
      <c r="D299">
        <v>0.231</v>
      </c>
      <c r="E299">
        <v>0.060778</v>
      </c>
      <c r="F299" s="2">
        <v>55</v>
      </c>
      <c r="G299" s="2">
        <v>47</v>
      </c>
      <c r="H299" s="2">
        <v>26</v>
      </c>
      <c r="K299" s="2" t="s">
        <v>11</v>
      </c>
    </row>
    <row r="300" spans="1:11" ht="12">
      <c r="A300" t="s">
        <v>12</v>
      </c>
      <c r="B300" t="s">
        <v>10</v>
      </c>
      <c r="C300">
        <v>0.86</v>
      </c>
      <c r="D300">
        <v>0.33</v>
      </c>
      <c r="E300">
        <v>0.222897</v>
      </c>
      <c r="F300" s="2">
        <v>50</v>
      </c>
      <c r="G300" s="2">
        <v>60</v>
      </c>
      <c r="H300" s="2">
        <v>40</v>
      </c>
      <c r="I300" s="2">
        <v>190</v>
      </c>
      <c r="K300" s="2" t="s">
        <v>13</v>
      </c>
    </row>
    <row r="301" spans="1:11" ht="12">
      <c r="A301" t="s">
        <v>14</v>
      </c>
      <c r="B301" t="s">
        <v>10</v>
      </c>
      <c r="C301">
        <v>0.16</v>
      </c>
      <c r="D301">
        <v>0.105</v>
      </c>
      <c r="E301">
        <v>0.013195</v>
      </c>
      <c r="F301" s="2">
        <v>27</v>
      </c>
      <c r="G301" s="2">
        <v>24</v>
      </c>
      <c r="H301" s="2">
        <v>15</v>
      </c>
      <c r="K301" s="2" t="s">
        <v>15</v>
      </c>
    </row>
    <row r="302" spans="1:11" ht="12">
      <c r="A302" t="s">
        <v>16</v>
      </c>
      <c r="B302" t="s">
        <v>10</v>
      </c>
      <c r="C302">
        <v>1.15</v>
      </c>
      <c r="D302">
        <v>0.17</v>
      </c>
      <c r="E302">
        <v>0.153546</v>
      </c>
      <c r="F302" s="2">
        <v>79</v>
      </c>
      <c r="G302" s="2">
        <v>80</v>
      </c>
      <c r="H302" s="2">
        <v>45</v>
      </c>
      <c r="I302" s="2">
        <v>100</v>
      </c>
      <c r="K302" s="2" t="s">
        <v>472</v>
      </c>
    </row>
    <row r="303" spans="1:11" ht="12">
      <c r="A303" t="s">
        <v>121</v>
      </c>
      <c r="B303" t="s">
        <v>10</v>
      </c>
      <c r="C303">
        <v>1.1</v>
      </c>
      <c r="D303">
        <v>0.16</v>
      </c>
      <c r="E303">
        <v>0.13823</v>
      </c>
      <c r="F303" s="2">
        <v>38</v>
      </c>
      <c r="G303" s="2">
        <v>61</v>
      </c>
      <c r="H303" s="2">
        <v>24</v>
      </c>
      <c r="I303" s="2">
        <v>87</v>
      </c>
      <c r="K303" s="2" t="s">
        <v>122</v>
      </c>
    </row>
    <row r="304" spans="1:11" ht="12">
      <c r="A304" t="s">
        <v>123</v>
      </c>
      <c r="B304" t="s">
        <v>10</v>
      </c>
      <c r="C304">
        <v>0.449</v>
      </c>
      <c r="D304">
        <v>0.204</v>
      </c>
      <c r="E304">
        <v>0.071939</v>
      </c>
      <c r="F304" s="2">
        <v>59</v>
      </c>
      <c r="G304" s="2">
        <v>42</v>
      </c>
      <c r="H304" s="2">
        <v>24</v>
      </c>
      <c r="K304" s="2" t="s">
        <v>124</v>
      </c>
    </row>
    <row r="305" spans="1:11" ht="12">
      <c r="A305" t="s">
        <v>125</v>
      </c>
      <c r="B305" t="s">
        <v>10</v>
      </c>
      <c r="C305">
        <v>0.67</v>
      </c>
      <c r="D305">
        <v>0.3</v>
      </c>
      <c r="E305">
        <v>0.157865</v>
      </c>
      <c r="F305" s="2">
        <v>61</v>
      </c>
      <c r="G305" s="2">
        <v>56</v>
      </c>
      <c r="H305" s="2">
        <v>26</v>
      </c>
      <c r="I305" s="2">
        <v>170</v>
      </c>
      <c r="K305" s="2" t="s">
        <v>126</v>
      </c>
    </row>
    <row r="306" spans="1:11" ht="12">
      <c r="A306" t="s">
        <v>127</v>
      </c>
      <c r="B306" t="s">
        <v>10</v>
      </c>
      <c r="C306">
        <v>0.364</v>
      </c>
      <c r="D306">
        <v>0.23</v>
      </c>
      <c r="E306">
        <v>0.065754</v>
      </c>
      <c r="F306" s="2">
        <v>51</v>
      </c>
      <c r="G306" s="2">
        <v>61</v>
      </c>
      <c r="H306" s="2">
        <v>28</v>
      </c>
      <c r="I306" s="2">
        <v>225</v>
      </c>
      <c r="K306" s="2" t="s">
        <v>128</v>
      </c>
    </row>
    <row r="307" spans="1:11" ht="12">
      <c r="A307" t="s">
        <v>129</v>
      </c>
      <c r="B307" t="s">
        <v>10</v>
      </c>
      <c r="C307">
        <v>0.35</v>
      </c>
      <c r="D307">
        <v>0.13</v>
      </c>
      <c r="E307">
        <v>0.035736</v>
      </c>
      <c r="F307" s="2">
        <v>28</v>
      </c>
      <c r="G307" s="2">
        <v>30</v>
      </c>
      <c r="H307" s="2">
        <v>22</v>
      </c>
      <c r="I307" s="2">
        <v>175</v>
      </c>
      <c r="K307" s="2" t="s">
        <v>130</v>
      </c>
    </row>
    <row r="308" spans="1:11" ht="12">
      <c r="A308" t="s">
        <v>132</v>
      </c>
      <c r="B308" t="s">
        <v>10</v>
      </c>
      <c r="C308">
        <v>0.36</v>
      </c>
      <c r="D308">
        <v>0.186</v>
      </c>
      <c r="E308">
        <v>0.05259</v>
      </c>
      <c r="F308" s="2">
        <v>35</v>
      </c>
      <c r="G308" s="2">
        <v>54</v>
      </c>
      <c r="H308" s="2">
        <v>23</v>
      </c>
      <c r="K308" s="2" t="s">
        <v>131</v>
      </c>
    </row>
    <row r="309" spans="1:11" ht="12">
      <c r="A309" t="s">
        <v>133</v>
      </c>
      <c r="B309" t="s">
        <v>10</v>
      </c>
      <c r="C309">
        <v>0.451</v>
      </c>
      <c r="D309">
        <v>0.226</v>
      </c>
      <c r="E309">
        <v>0.080053</v>
      </c>
      <c r="F309" s="2">
        <v>49</v>
      </c>
      <c r="G309" s="2">
        <v>46</v>
      </c>
      <c r="H309" s="2">
        <v>24</v>
      </c>
      <c r="K309" s="2" t="s">
        <v>131</v>
      </c>
    </row>
    <row r="310" spans="1:11" ht="12">
      <c r="A310" t="s">
        <v>135</v>
      </c>
      <c r="B310" t="s">
        <v>10</v>
      </c>
      <c r="C310">
        <v>0.53</v>
      </c>
      <c r="D310">
        <v>0.17</v>
      </c>
      <c r="E310">
        <v>0.070765</v>
      </c>
      <c r="F310" s="2">
        <v>58</v>
      </c>
      <c r="G310" s="2">
        <v>50</v>
      </c>
      <c r="H310" s="2">
        <v>31</v>
      </c>
      <c r="I310" s="2">
        <v>130</v>
      </c>
      <c r="K310" s="2" t="s">
        <v>134</v>
      </c>
    </row>
    <row r="311" spans="1:11" ht="12">
      <c r="A311" t="s">
        <v>136</v>
      </c>
      <c r="B311" t="s">
        <v>10</v>
      </c>
      <c r="C311">
        <v>0.5</v>
      </c>
      <c r="D311">
        <v>0.225</v>
      </c>
      <c r="E311">
        <v>0.08836</v>
      </c>
      <c r="F311" s="2">
        <v>46</v>
      </c>
      <c r="G311" s="2">
        <v>55</v>
      </c>
      <c r="H311" s="2">
        <v>35</v>
      </c>
      <c r="K311" s="2" t="s">
        <v>134</v>
      </c>
    </row>
    <row r="312" spans="1:11" ht="12">
      <c r="A312" t="s">
        <v>35</v>
      </c>
      <c r="B312" t="s">
        <v>10</v>
      </c>
      <c r="C312">
        <v>0.695</v>
      </c>
      <c r="D312">
        <v>0.24</v>
      </c>
      <c r="E312">
        <v>0.131005</v>
      </c>
      <c r="F312" s="2">
        <v>56</v>
      </c>
      <c r="G312" s="2">
        <v>49</v>
      </c>
      <c r="H312" s="2">
        <v>28</v>
      </c>
      <c r="K312" s="2" t="s">
        <v>34</v>
      </c>
    </row>
    <row r="313" spans="1:11" ht="12">
      <c r="A313" t="s">
        <v>36</v>
      </c>
      <c r="B313" t="s">
        <v>10</v>
      </c>
      <c r="C313">
        <v>0.478</v>
      </c>
      <c r="D313">
        <v>0.355</v>
      </c>
      <c r="E313">
        <v>0.133275</v>
      </c>
      <c r="F313" s="2">
        <v>48</v>
      </c>
      <c r="G313" s="2">
        <v>49</v>
      </c>
      <c r="H313" s="2">
        <v>27</v>
      </c>
      <c r="I313" s="2">
        <v>172</v>
      </c>
      <c r="K313" s="2" t="s">
        <v>37</v>
      </c>
    </row>
    <row r="314" spans="1:11" ht="12">
      <c r="A314" t="s">
        <v>38</v>
      </c>
      <c r="B314" t="s">
        <v>10</v>
      </c>
      <c r="C314">
        <v>0.366</v>
      </c>
      <c r="D314">
        <v>0.163</v>
      </c>
      <c r="E314">
        <v>0.046855</v>
      </c>
      <c r="F314" s="2">
        <v>43</v>
      </c>
      <c r="G314" s="2">
        <v>43</v>
      </c>
      <c r="H314" s="2">
        <v>23</v>
      </c>
      <c r="K314" s="2" t="s">
        <v>37</v>
      </c>
    </row>
    <row r="315" spans="1:11" ht="12">
      <c r="A315" t="s">
        <v>39</v>
      </c>
      <c r="B315" t="s">
        <v>10</v>
      </c>
      <c r="C315">
        <v>0.99</v>
      </c>
      <c r="D315">
        <v>0.29</v>
      </c>
      <c r="E315">
        <v>0.225488</v>
      </c>
      <c r="F315" s="2">
        <v>90</v>
      </c>
      <c r="G315" s="2">
        <v>72</v>
      </c>
      <c r="K315" s="2" t="s">
        <v>40</v>
      </c>
    </row>
    <row r="316" spans="1:11" ht="12">
      <c r="A316" t="s">
        <v>42</v>
      </c>
      <c r="B316" t="s">
        <v>10</v>
      </c>
      <c r="C316">
        <v>0.476</v>
      </c>
      <c r="D316">
        <v>0.283</v>
      </c>
      <c r="E316">
        <v>0.1058</v>
      </c>
      <c r="F316" s="2">
        <v>45</v>
      </c>
      <c r="G316" s="2">
        <v>41</v>
      </c>
      <c r="H316" s="2">
        <v>26</v>
      </c>
      <c r="K316" s="2" t="s">
        <v>41</v>
      </c>
    </row>
    <row r="317" spans="1:11" ht="12">
      <c r="A317" t="s">
        <v>43</v>
      </c>
      <c r="B317" t="s">
        <v>10</v>
      </c>
      <c r="C317">
        <v>0.411</v>
      </c>
      <c r="D317">
        <v>0.25</v>
      </c>
      <c r="E317">
        <v>0.0807</v>
      </c>
      <c r="F317" s="2">
        <v>35</v>
      </c>
      <c r="G317" s="2">
        <v>52</v>
      </c>
      <c r="H317" s="2">
        <v>19</v>
      </c>
      <c r="K317" s="2" t="s">
        <v>41</v>
      </c>
    </row>
    <row r="318" spans="1:11" ht="12">
      <c r="A318" t="s">
        <v>44</v>
      </c>
      <c r="B318" t="s">
        <v>10</v>
      </c>
      <c r="C318">
        <v>1.059</v>
      </c>
      <c r="D318">
        <v>0.703</v>
      </c>
      <c r="E318">
        <v>0.584712</v>
      </c>
      <c r="F318" s="2">
        <v>68</v>
      </c>
      <c r="G318" s="2">
        <v>125</v>
      </c>
      <c r="H318" s="2">
        <v>26</v>
      </c>
      <c r="K318" s="2" t="s">
        <v>41</v>
      </c>
    </row>
    <row r="319" spans="1:11" ht="12">
      <c r="A319" t="s">
        <v>45</v>
      </c>
      <c r="B319" t="s">
        <v>10</v>
      </c>
      <c r="C319">
        <v>0.505</v>
      </c>
      <c r="D319">
        <v>0.335</v>
      </c>
      <c r="E319">
        <v>0.13287</v>
      </c>
      <c r="F319" s="2">
        <v>56</v>
      </c>
      <c r="G319" s="2">
        <v>61</v>
      </c>
      <c r="H319" s="2">
        <v>26</v>
      </c>
      <c r="K319" s="2" t="s">
        <v>41</v>
      </c>
    </row>
    <row r="320" spans="1:11" ht="12">
      <c r="A320" t="s">
        <v>46</v>
      </c>
      <c r="B320" t="s">
        <v>10</v>
      </c>
      <c r="C320">
        <v>1.28</v>
      </c>
      <c r="D320">
        <v>0.43</v>
      </c>
      <c r="E320">
        <v>0.432284</v>
      </c>
      <c r="F320" s="2">
        <v>150</v>
      </c>
      <c r="G320" s="2">
        <v>105</v>
      </c>
      <c r="H320" s="2">
        <v>62</v>
      </c>
      <c r="K320" s="2" t="s">
        <v>41</v>
      </c>
    </row>
    <row r="321" spans="1:11" ht="12">
      <c r="A321" t="s">
        <v>47</v>
      </c>
      <c r="B321" t="s">
        <v>10</v>
      </c>
      <c r="C321">
        <v>1.288</v>
      </c>
      <c r="D321">
        <v>0.594</v>
      </c>
      <c r="E321">
        <v>0.600888</v>
      </c>
      <c r="F321" s="2">
        <v>103</v>
      </c>
      <c r="G321" s="2">
        <v>136</v>
      </c>
      <c r="H321" s="2">
        <v>33</v>
      </c>
      <c r="K321" s="2" t="s">
        <v>41</v>
      </c>
    </row>
    <row r="322" spans="1:11" ht="12">
      <c r="A322" t="s">
        <v>89</v>
      </c>
      <c r="B322" t="s">
        <v>536</v>
      </c>
      <c r="C322">
        <v>2.454</v>
      </c>
      <c r="D322">
        <v>0.502</v>
      </c>
      <c r="E322">
        <v>0.96754054</v>
      </c>
      <c r="F322">
        <v>308</v>
      </c>
      <c r="G322">
        <v>368</v>
      </c>
      <c r="H322">
        <v>111</v>
      </c>
      <c r="K322" s="3" t="s">
        <v>90</v>
      </c>
    </row>
    <row r="323" spans="1:11" ht="12">
      <c r="A323" t="s">
        <v>118</v>
      </c>
      <c r="B323" t="s">
        <v>536</v>
      </c>
      <c r="C323">
        <v>2.35</v>
      </c>
      <c r="D323">
        <v>0.867</v>
      </c>
      <c r="E323">
        <v>1.60021323</v>
      </c>
      <c r="F323">
        <v>206</v>
      </c>
      <c r="G323">
        <v>298</v>
      </c>
      <c r="H323">
        <v>127</v>
      </c>
      <c r="I323">
        <v>829</v>
      </c>
      <c r="K323" s="3" t="s">
        <v>117</v>
      </c>
    </row>
    <row r="324" spans="1:11" ht="12">
      <c r="A324" t="s">
        <v>307</v>
      </c>
      <c r="B324" t="s">
        <v>536</v>
      </c>
      <c r="C324">
        <v>4.463</v>
      </c>
      <c r="D324">
        <v>0.393</v>
      </c>
      <c r="E324">
        <v>1.3775594</v>
      </c>
      <c r="F324">
        <v>186</v>
      </c>
      <c r="G324">
        <v>172</v>
      </c>
      <c r="H324">
        <v>109</v>
      </c>
      <c r="K324" s="3" t="s">
        <v>306</v>
      </c>
    </row>
    <row r="325" spans="1:11" ht="12">
      <c r="A325" t="s">
        <v>75</v>
      </c>
      <c r="B325" t="s">
        <v>536</v>
      </c>
      <c r="C325">
        <v>1.67</v>
      </c>
      <c r="D325">
        <v>0.59</v>
      </c>
      <c r="E325">
        <v>0.77385462</v>
      </c>
      <c r="F325">
        <v>180</v>
      </c>
      <c r="G325">
        <v>320</v>
      </c>
      <c r="H325">
        <v>126</v>
      </c>
      <c r="K325" s="3" t="s">
        <v>76</v>
      </c>
    </row>
    <row r="326" spans="1:11" ht="12">
      <c r="A326" t="s">
        <v>461</v>
      </c>
      <c r="B326" t="s">
        <v>536</v>
      </c>
      <c r="C326">
        <f>(1.288+1.792)/2</f>
        <v>1.54</v>
      </c>
      <c r="D326">
        <f>(0.365+0.47)/2</f>
        <v>0.4175</v>
      </c>
      <c r="E326">
        <v>0.50497293</v>
      </c>
      <c r="F326" s="2">
        <v>381</v>
      </c>
      <c r="G326" s="2">
        <v>233</v>
      </c>
      <c r="H326" s="2">
        <f>(143+172)/2</f>
        <v>157.5</v>
      </c>
      <c r="K326" s="2" t="s">
        <v>462</v>
      </c>
    </row>
    <row r="327" spans="1:11" ht="12">
      <c r="A327" t="s">
        <v>305</v>
      </c>
      <c r="B327" t="s">
        <v>536</v>
      </c>
      <c r="C327">
        <v>5.541</v>
      </c>
      <c r="D327">
        <v>0.23</v>
      </c>
      <c r="E327">
        <v>1.00093732</v>
      </c>
      <c r="F327">
        <v>182</v>
      </c>
      <c r="G327">
        <v>219</v>
      </c>
      <c r="H327">
        <v>98</v>
      </c>
      <c r="K327" s="3" t="s">
        <v>304</v>
      </c>
    </row>
    <row r="328" spans="1:11" ht="12">
      <c r="A328" t="s">
        <v>140</v>
      </c>
      <c r="B328" t="s">
        <v>536</v>
      </c>
      <c r="C328">
        <v>3.305</v>
      </c>
      <c r="D328">
        <v>0.285</v>
      </c>
      <c r="E328">
        <v>0.7397879</v>
      </c>
      <c r="F328">
        <v>101</v>
      </c>
      <c r="G328">
        <v>158</v>
      </c>
      <c r="H328">
        <v>78</v>
      </c>
      <c r="K328" s="3" t="s">
        <v>139</v>
      </c>
    </row>
    <row r="329" spans="1:11" ht="12">
      <c r="A329" t="s">
        <v>543</v>
      </c>
      <c r="B329" t="s">
        <v>536</v>
      </c>
      <c r="C329">
        <v>0.766</v>
      </c>
      <c r="D329">
        <v>0.215</v>
      </c>
      <c r="E329">
        <v>0.12934753</v>
      </c>
      <c r="F329">
        <v>73</v>
      </c>
      <c r="G329">
        <v>123</v>
      </c>
      <c r="H329">
        <v>49</v>
      </c>
      <c r="I329">
        <v>139</v>
      </c>
      <c r="K329" s="3" t="s">
        <v>544</v>
      </c>
    </row>
    <row r="330" spans="1:11" ht="12">
      <c r="A330" t="s">
        <v>213</v>
      </c>
      <c r="B330" t="s">
        <v>536</v>
      </c>
      <c r="C330">
        <v>0.809</v>
      </c>
      <c r="D330">
        <v>0.323</v>
      </c>
      <c r="E330">
        <v>0.20523052</v>
      </c>
      <c r="F330">
        <v>159</v>
      </c>
      <c r="G330">
        <v>270</v>
      </c>
      <c r="H330">
        <v>52</v>
      </c>
      <c r="I330">
        <v>74</v>
      </c>
      <c r="K330" s="3" t="s">
        <v>211</v>
      </c>
    </row>
    <row r="331" spans="1:11" ht="12">
      <c r="A331" t="s">
        <v>591</v>
      </c>
      <c r="B331" t="s">
        <v>536</v>
      </c>
      <c r="C331">
        <v>6.137</v>
      </c>
      <c r="D331">
        <v>1.805</v>
      </c>
      <c r="E331">
        <v>8.70009964</v>
      </c>
      <c r="F331" s="2">
        <v>348</v>
      </c>
      <c r="G331" s="2">
        <v>603</v>
      </c>
      <c r="H331" s="2">
        <v>234</v>
      </c>
      <c r="K331" s="2" t="s">
        <v>587</v>
      </c>
    </row>
    <row r="332" spans="1:11" ht="12">
      <c r="A332" t="s">
        <v>478</v>
      </c>
      <c r="B332" t="s">
        <v>536</v>
      </c>
      <c r="C332">
        <v>2.238</v>
      </c>
      <c r="D332">
        <v>0.804</v>
      </c>
      <c r="E332">
        <v>1.41321106</v>
      </c>
      <c r="F332" s="2">
        <v>134</v>
      </c>
      <c r="G332" s="2">
        <v>315</v>
      </c>
      <c r="H332" s="2">
        <v>60</v>
      </c>
      <c r="I332">
        <v>496</v>
      </c>
      <c r="K332" s="2" t="s">
        <v>477</v>
      </c>
    </row>
    <row r="333" spans="1:11" ht="12">
      <c r="A333" t="s">
        <v>217</v>
      </c>
      <c r="B333" t="s">
        <v>536</v>
      </c>
      <c r="C333">
        <v>1.916</v>
      </c>
      <c r="D333">
        <v>0.624</v>
      </c>
      <c r="E333">
        <v>0.93901167</v>
      </c>
      <c r="F333">
        <v>165</v>
      </c>
      <c r="G333">
        <v>244</v>
      </c>
      <c r="H333">
        <v>78</v>
      </c>
      <c r="I333">
        <v>432</v>
      </c>
      <c r="K333" s="3" t="s">
        <v>215</v>
      </c>
    </row>
    <row r="334" spans="1:11" ht="12">
      <c r="A334" t="s">
        <v>554</v>
      </c>
      <c r="B334" t="s">
        <v>536</v>
      </c>
      <c r="C334">
        <f>(0.623+2.365)/2</f>
        <v>1.4940000000000002</v>
      </c>
      <c r="D334">
        <f>(0.288+0.771)/2</f>
        <v>0.5295</v>
      </c>
      <c r="E334">
        <v>0.62130873</v>
      </c>
      <c r="F334" s="2">
        <v>288</v>
      </c>
      <c r="G334" s="2">
        <v>422</v>
      </c>
      <c r="H334" s="2">
        <f>(40+75)/2</f>
        <v>57.5</v>
      </c>
      <c r="K334" s="2" t="s">
        <v>477</v>
      </c>
    </row>
    <row r="335" spans="1:11" ht="12">
      <c r="A335" t="s">
        <v>352</v>
      </c>
      <c r="B335" t="s">
        <v>536</v>
      </c>
      <c r="C335">
        <f>(1.595+2.99)/2</f>
        <v>2.2925</v>
      </c>
      <c r="D335">
        <f>(0.792+1.369)/2</f>
        <v>1.0805</v>
      </c>
      <c r="E335">
        <v>1.94547212</v>
      </c>
      <c r="F335" s="2">
        <v>261</v>
      </c>
      <c r="G335" s="2">
        <v>511</v>
      </c>
      <c r="H335" s="2">
        <f>(73+738)/2</f>
        <v>405.5</v>
      </c>
      <c r="K335" s="2" t="s">
        <v>351</v>
      </c>
    </row>
    <row r="336" spans="1:11" ht="12">
      <c r="A336" t="s">
        <v>216</v>
      </c>
      <c r="B336" t="s">
        <v>536</v>
      </c>
      <c r="C336">
        <v>3.007</v>
      </c>
      <c r="D336">
        <v>0.601</v>
      </c>
      <c r="E336">
        <v>1.41938038</v>
      </c>
      <c r="F336">
        <v>202</v>
      </c>
      <c r="G336">
        <v>333</v>
      </c>
      <c r="H336">
        <v>102</v>
      </c>
      <c r="I336">
        <v>511</v>
      </c>
      <c r="K336" s="3" t="s">
        <v>215</v>
      </c>
    </row>
    <row r="337" spans="1:11" ht="12">
      <c r="A337" t="s">
        <v>97</v>
      </c>
      <c r="B337" t="s">
        <v>536</v>
      </c>
      <c r="C337">
        <v>5.998</v>
      </c>
      <c r="D337">
        <v>1.726</v>
      </c>
      <c r="E337">
        <v>8.1308912</v>
      </c>
      <c r="F337">
        <v>431</v>
      </c>
      <c r="G337">
        <v>1211</v>
      </c>
      <c r="H337">
        <v>330</v>
      </c>
      <c r="I337">
        <v>1360</v>
      </c>
      <c r="K337" s="3" t="s">
        <v>95</v>
      </c>
    </row>
    <row r="338" spans="1:11" ht="12">
      <c r="A338" t="s">
        <v>69</v>
      </c>
      <c r="B338" t="s">
        <v>536</v>
      </c>
      <c r="C338">
        <v>6.1</v>
      </c>
      <c r="D338">
        <v>0.72</v>
      </c>
      <c r="E338">
        <v>3.4494768</v>
      </c>
      <c r="F338">
        <v>400</v>
      </c>
      <c r="G338">
        <v>350</v>
      </c>
      <c r="H338">
        <v>110</v>
      </c>
      <c r="I338">
        <v>400</v>
      </c>
      <c r="K338" s="3" t="s">
        <v>68</v>
      </c>
    </row>
    <row r="339" spans="1:11" ht="12">
      <c r="A339" t="s">
        <v>67</v>
      </c>
      <c r="B339" t="s">
        <v>536</v>
      </c>
      <c r="C339">
        <v>9.29</v>
      </c>
      <c r="D339">
        <v>0.85</v>
      </c>
      <c r="E339">
        <v>6.2019111</v>
      </c>
      <c r="F339">
        <v>460</v>
      </c>
      <c r="G339">
        <v>400</v>
      </c>
      <c r="H339">
        <v>112</v>
      </c>
      <c r="I339">
        <v>545</v>
      </c>
      <c r="K339" s="3" t="s">
        <v>68</v>
      </c>
    </row>
    <row r="340" spans="1:11" ht="12">
      <c r="A340" t="s">
        <v>214</v>
      </c>
      <c r="B340" t="s">
        <v>536</v>
      </c>
      <c r="C340">
        <v>4.385</v>
      </c>
      <c r="D340">
        <v>1.58</v>
      </c>
      <c r="E340">
        <v>5.44148682</v>
      </c>
      <c r="F340">
        <v>559</v>
      </c>
      <c r="G340">
        <v>824</v>
      </c>
      <c r="H340">
        <v>362</v>
      </c>
      <c r="I340">
        <v>590</v>
      </c>
      <c r="K340" s="3" t="s">
        <v>211</v>
      </c>
    </row>
    <row r="341" spans="1:11" ht="12">
      <c r="A341" t="s">
        <v>98</v>
      </c>
      <c r="B341" t="s">
        <v>536</v>
      </c>
      <c r="C341">
        <v>3</v>
      </c>
      <c r="D341">
        <v>0.693</v>
      </c>
      <c r="E341">
        <v>1.6328466</v>
      </c>
      <c r="F341">
        <v>229</v>
      </c>
      <c r="G341">
        <v>390</v>
      </c>
      <c r="H341">
        <v>141</v>
      </c>
      <c r="I341">
        <v>1365</v>
      </c>
      <c r="K341" s="3" t="s">
        <v>95</v>
      </c>
    </row>
    <row r="342" spans="1:11" ht="12">
      <c r="A342" t="s">
        <v>553</v>
      </c>
      <c r="B342" t="s">
        <v>536</v>
      </c>
      <c r="C342">
        <v>0.79</v>
      </c>
      <c r="D342">
        <v>0.245</v>
      </c>
      <c r="E342">
        <v>0.15201417</v>
      </c>
      <c r="F342">
        <v>84</v>
      </c>
      <c r="G342">
        <v>128</v>
      </c>
      <c r="H342">
        <v>42</v>
      </c>
      <c r="I342">
        <v>188</v>
      </c>
      <c r="K342" s="3" t="s">
        <v>552</v>
      </c>
    </row>
    <row r="343" spans="1:11" ht="12">
      <c r="A343" t="s">
        <v>551</v>
      </c>
      <c r="B343" t="s">
        <v>536</v>
      </c>
      <c r="C343">
        <v>0.82</v>
      </c>
      <c r="D343">
        <v>0.276</v>
      </c>
      <c r="E343">
        <v>0.17775173</v>
      </c>
      <c r="F343">
        <v>87</v>
      </c>
      <c r="G343">
        <v>161</v>
      </c>
      <c r="H343">
        <v>43</v>
      </c>
      <c r="I343">
        <v>208</v>
      </c>
      <c r="K343" s="3" t="s">
        <v>552</v>
      </c>
    </row>
    <row r="344" spans="1:11" ht="12">
      <c r="A344" t="s">
        <v>65</v>
      </c>
      <c r="B344" t="s">
        <v>536</v>
      </c>
      <c r="C344">
        <v>1.496</v>
      </c>
      <c r="D344">
        <v>0.311</v>
      </c>
      <c r="E344">
        <v>0.36541206</v>
      </c>
      <c r="F344">
        <v>106</v>
      </c>
      <c r="G344">
        <v>137</v>
      </c>
      <c r="H344">
        <v>75</v>
      </c>
      <c r="I344">
        <v>145</v>
      </c>
      <c r="K344" s="3" t="s">
        <v>62</v>
      </c>
    </row>
    <row r="345" spans="1:11" ht="12">
      <c r="A345" t="s">
        <v>64</v>
      </c>
      <c r="B345" t="s">
        <v>536</v>
      </c>
      <c r="C345">
        <v>1.618</v>
      </c>
      <c r="D345">
        <v>0.236</v>
      </c>
      <c r="E345">
        <v>0.29990342</v>
      </c>
      <c r="F345">
        <v>99</v>
      </c>
      <c r="G345">
        <v>142</v>
      </c>
      <c r="H345">
        <v>58</v>
      </c>
      <c r="I345">
        <v>50</v>
      </c>
      <c r="K345" s="3" t="s">
        <v>62</v>
      </c>
    </row>
    <row r="346" spans="1:11" ht="12">
      <c r="A346" t="s">
        <v>66</v>
      </c>
      <c r="B346" t="s">
        <v>536</v>
      </c>
      <c r="C346">
        <v>1.476</v>
      </c>
      <c r="D346">
        <v>0.352</v>
      </c>
      <c r="E346">
        <v>0.40805614</v>
      </c>
      <c r="F346">
        <v>99</v>
      </c>
      <c r="G346">
        <v>202</v>
      </c>
      <c r="H346">
        <v>61</v>
      </c>
      <c r="I346">
        <v>59</v>
      </c>
      <c r="K346" s="3" t="s">
        <v>62</v>
      </c>
    </row>
    <row r="347" spans="1:11" ht="12">
      <c r="A347" t="s">
        <v>594</v>
      </c>
      <c r="B347" t="s">
        <v>536</v>
      </c>
      <c r="C347">
        <f>(1.33+3.04)/2</f>
        <v>2.185</v>
      </c>
      <c r="D347">
        <f>(0.268+0.348)/2</f>
        <v>0.308</v>
      </c>
      <c r="E347">
        <v>0.52855849</v>
      </c>
      <c r="F347" s="2">
        <v>147</v>
      </c>
      <c r="G347" s="2">
        <v>154</v>
      </c>
      <c r="H347" s="2">
        <f>(96+128)/2</f>
        <v>112</v>
      </c>
      <c r="K347" s="2" t="s">
        <v>587</v>
      </c>
    </row>
    <row r="348" spans="1:11" ht="12">
      <c r="A348" t="s">
        <v>63</v>
      </c>
      <c r="B348" t="s">
        <v>536</v>
      </c>
      <c r="C348">
        <v>1.334</v>
      </c>
      <c r="D348">
        <v>0.301</v>
      </c>
      <c r="E348">
        <v>0.3153648</v>
      </c>
      <c r="F348">
        <v>111</v>
      </c>
      <c r="G348">
        <v>134</v>
      </c>
      <c r="H348">
        <v>76</v>
      </c>
      <c r="I348">
        <v>59</v>
      </c>
      <c r="K348" s="3" t="s">
        <v>62</v>
      </c>
    </row>
    <row r="349" spans="1:11" ht="12">
      <c r="A349" t="s">
        <v>285</v>
      </c>
      <c r="B349" t="s">
        <v>536</v>
      </c>
      <c r="C349">
        <f>(2.715+2.888)/2</f>
        <v>2.8015</v>
      </c>
      <c r="D349">
        <f>(1.03+1.079)/2</f>
        <v>1.0545</v>
      </c>
      <c r="E349">
        <v>2.32021435</v>
      </c>
      <c r="F349" s="2">
        <v>390</v>
      </c>
      <c r="G349" s="2">
        <v>492</v>
      </c>
      <c r="H349" s="2">
        <f>(135+209)/2</f>
        <v>172</v>
      </c>
      <c r="I349">
        <f>(4.69+536)/2</f>
        <v>270.345</v>
      </c>
      <c r="K349" s="2" t="s">
        <v>462</v>
      </c>
    </row>
    <row r="350" spans="1:11" ht="12">
      <c r="A350" t="s">
        <v>287</v>
      </c>
      <c r="B350" t="s">
        <v>536</v>
      </c>
      <c r="C350">
        <f>(3.818+6.137)/2</f>
        <v>4.9775</v>
      </c>
      <c r="D350">
        <f>(0.855+1.14)/2</f>
        <v>0.9974999999999999</v>
      </c>
      <c r="E350">
        <v>3.89955518</v>
      </c>
      <c r="F350" s="2">
        <v>301</v>
      </c>
      <c r="G350" s="2">
        <v>502</v>
      </c>
      <c r="H350" s="2"/>
      <c r="I350">
        <f>(683+1072)/2</f>
        <v>877.5</v>
      </c>
      <c r="K350" s="2" t="s">
        <v>462</v>
      </c>
    </row>
    <row r="351" spans="1:11" ht="12">
      <c r="A351" t="s">
        <v>593</v>
      </c>
      <c r="B351" t="s">
        <v>536</v>
      </c>
      <c r="C351">
        <f>(1.168+1.343)/2</f>
        <v>1.2555</v>
      </c>
      <c r="D351">
        <f>(0.289+0.364)/2</f>
        <v>0.3265</v>
      </c>
      <c r="E351">
        <v>0.32195176</v>
      </c>
      <c r="F351" s="2">
        <v>151</v>
      </c>
      <c r="G351" s="2">
        <v>180</v>
      </c>
      <c r="H351" s="2">
        <f>(94+108)/2</f>
        <v>101</v>
      </c>
      <c r="I351">
        <f>(529+537)/2</f>
        <v>533</v>
      </c>
      <c r="K351" s="2" t="s">
        <v>587</v>
      </c>
    </row>
    <row r="352" spans="1:11" ht="12">
      <c r="A352" t="s">
        <v>292</v>
      </c>
      <c r="B352" t="s">
        <v>536</v>
      </c>
      <c r="C352">
        <v>5.1</v>
      </c>
      <c r="D352">
        <v>2.2</v>
      </c>
      <c r="E352">
        <v>8.812188</v>
      </c>
      <c r="F352" s="2">
        <v>394</v>
      </c>
      <c r="G352" s="2">
        <v>782</v>
      </c>
      <c r="H352" s="2">
        <v>202</v>
      </c>
      <c r="I352">
        <v>609</v>
      </c>
      <c r="K352" s="2" t="s">
        <v>293</v>
      </c>
    </row>
    <row r="353" spans="1:11" ht="12">
      <c r="A353" t="s">
        <v>592</v>
      </c>
      <c r="B353" t="s">
        <v>536</v>
      </c>
      <c r="C353">
        <v>0.649</v>
      </c>
      <c r="D353">
        <v>0.288</v>
      </c>
      <c r="E353">
        <v>0.14680068</v>
      </c>
      <c r="F353" s="2">
        <v>80</v>
      </c>
      <c r="G353" s="2">
        <v>139</v>
      </c>
      <c r="H353" s="2">
        <v>67</v>
      </c>
      <c r="K353" s="2" t="s">
        <v>587</v>
      </c>
    </row>
    <row r="354" spans="1:11" ht="12">
      <c r="A354" t="s">
        <v>309</v>
      </c>
      <c r="B354" t="s">
        <v>536</v>
      </c>
      <c r="C354">
        <v>1.771</v>
      </c>
      <c r="D354">
        <v>0.551</v>
      </c>
      <c r="E354">
        <v>0.76640981</v>
      </c>
      <c r="F354">
        <v>212</v>
      </c>
      <c r="G354">
        <v>308</v>
      </c>
      <c r="H354">
        <v>123</v>
      </c>
      <c r="I354">
        <v>339</v>
      </c>
      <c r="K354" s="3" t="s">
        <v>308</v>
      </c>
    </row>
    <row r="355" spans="1:11" ht="12">
      <c r="A355" t="s">
        <v>595</v>
      </c>
      <c r="B355" t="s">
        <v>536</v>
      </c>
      <c r="C355">
        <f>(2.185+4.168)/2</f>
        <v>3.1765</v>
      </c>
      <c r="D355">
        <f>(0.368+0.402)/2</f>
        <v>0.385</v>
      </c>
      <c r="E355">
        <v>0.96050689</v>
      </c>
      <c r="F355" s="2">
        <v>140</v>
      </c>
      <c r="G355" s="2">
        <v>368</v>
      </c>
      <c r="H355" s="2">
        <f>(81+96)/2</f>
        <v>88.5</v>
      </c>
      <c r="K355" s="2" t="s">
        <v>587</v>
      </c>
    </row>
    <row r="356" spans="1:11" ht="12">
      <c r="A356" t="s">
        <v>596</v>
      </c>
      <c r="B356" t="s">
        <v>536</v>
      </c>
      <c r="C356">
        <f>(2.717+3.534)/2</f>
        <v>3.1254999999999997</v>
      </c>
      <c r="D356">
        <f>(0.482+0.616)/2</f>
        <v>0.5489999999999999</v>
      </c>
      <c r="E356">
        <v>1.34766747</v>
      </c>
      <c r="F356" s="2">
        <v>207</v>
      </c>
      <c r="G356" s="2">
        <v>301</v>
      </c>
      <c r="H356" s="2">
        <f>(134+144)/2</f>
        <v>139</v>
      </c>
      <c r="K356" s="2" t="s">
        <v>587</v>
      </c>
    </row>
    <row r="357" spans="1:11" ht="12">
      <c r="A357" t="s">
        <v>535</v>
      </c>
      <c r="B357" t="s">
        <v>536</v>
      </c>
      <c r="C357">
        <v>2.67</v>
      </c>
      <c r="D357">
        <v>0.27</v>
      </c>
      <c r="E357">
        <v>0.56619486</v>
      </c>
      <c r="F357" s="2">
        <v>160</v>
      </c>
      <c r="G357" s="2">
        <v>280</v>
      </c>
      <c r="H357" s="2"/>
      <c r="K357" t="s">
        <v>534</v>
      </c>
    </row>
    <row r="358" spans="1:11" ht="12">
      <c r="A358" t="s">
        <v>310</v>
      </c>
      <c r="B358" t="s">
        <v>536</v>
      </c>
      <c r="C358">
        <v>2.981</v>
      </c>
      <c r="D358">
        <v>0.469</v>
      </c>
      <c r="E358">
        <v>1.0980591</v>
      </c>
      <c r="F358">
        <v>180</v>
      </c>
      <c r="G358">
        <v>358</v>
      </c>
      <c r="H358">
        <v>123</v>
      </c>
      <c r="I358">
        <v>778</v>
      </c>
      <c r="K358" s="3" t="s">
        <v>308</v>
      </c>
    </row>
    <row r="359" spans="1:11" ht="12">
      <c r="A359" t="s">
        <v>313</v>
      </c>
      <c r="B359" t="s">
        <v>536</v>
      </c>
      <c r="C359">
        <v>1.586</v>
      </c>
      <c r="D359">
        <v>0.214</v>
      </c>
      <c r="E359">
        <v>0.2665679</v>
      </c>
      <c r="F359">
        <v>98</v>
      </c>
      <c r="G359">
        <v>123</v>
      </c>
      <c r="H359">
        <v>68</v>
      </c>
      <c r="I359">
        <v>605</v>
      </c>
      <c r="K359" s="3" t="s">
        <v>312</v>
      </c>
    </row>
    <row r="360" spans="1:11" ht="12">
      <c r="A360" t="s">
        <v>311</v>
      </c>
      <c r="B360" t="s">
        <v>536</v>
      </c>
      <c r="C360">
        <v>4.47</v>
      </c>
      <c r="D360">
        <v>0.374</v>
      </c>
      <c r="E360">
        <v>1.31301601</v>
      </c>
      <c r="F360">
        <v>220</v>
      </c>
      <c r="G360">
        <v>154</v>
      </c>
      <c r="H360">
        <v>154</v>
      </c>
      <c r="K360" s="3" t="s">
        <v>308</v>
      </c>
    </row>
    <row r="361" spans="1:11" ht="12">
      <c r="A361" t="s">
        <v>286</v>
      </c>
      <c r="B361" t="s">
        <v>536</v>
      </c>
      <c r="C361">
        <f>(2.204+4.389)/2</f>
        <v>3.2965</v>
      </c>
      <c r="D361">
        <f>(0.722+1.33)/2</f>
        <v>1.026</v>
      </c>
      <c r="E361">
        <v>2.65638695</v>
      </c>
      <c r="F361" s="2">
        <v>389</v>
      </c>
      <c r="G361" s="2">
        <v>710</v>
      </c>
      <c r="H361" s="2">
        <f>(128+234)/2</f>
        <v>181</v>
      </c>
      <c r="I361">
        <f>(456+855)/2</f>
        <v>655.5</v>
      </c>
      <c r="K361" s="2" t="s">
        <v>462</v>
      </c>
    </row>
    <row r="362" spans="1:11" ht="12">
      <c r="A362" t="s">
        <v>138</v>
      </c>
      <c r="B362" t="s">
        <v>536</v>
      </c>
      <c r="C362">
        <v>0.76</v>
      </c>
      <c r="D362">
        <v>0.467</v>
      </c>
      <c r="E362">
        <v>0.27875417</v>
      </c>
      <c r="F362">
        <v>99</v>
      </c>
      <c r="G362">
        <v>197</v>
      </c>
      <c r="H362">
        <v>74</v>
      </c>
      <c r="I362">
        <v>325</v>
      </c>
      <c r="K362" s="3" t="s">
        <v>314</v>
      </c>
    </row>
    <row r="363" spans="1:11" ht="12">
      <c r="A363" t="s">
        <v>315</v>
      </c>
      <c r="B363" t="s">
        <v>536</v>
      </c>
      <c r="C363">
        <v>1.473</v>
      </c>
      <c r="D363">
        <v>0.951</v>
      </c>
      <c r="E363">
        <v>1.10020638</v>
      </c>
      <c r="F363">
        <v>295</v>
      </c>
      <c r="G363">
        <v>568</v>
      </c>
      <c r="H363">
        <v>187</v>
      </c>
      <c r="I363">
        <v>362</v>
      </c>
      <c r="K363" s="3" t="s">
        <v>314</v>
      </c>
    </row>
    <row r="364" spans="1:11" ht="12">
      <c r="A364" t="s">
        <v>137</v>
      </c>
      <c r="B364" t="s">
        <v>536</v>
      </c>
      <c r="C364">
        <v>2.473</v>
      </c>
      <c r="D364">
        <v>1.184</v>
      </c>
      <c r="E364">
        <v>2.29967633</v>
      </c>
      <c r="F364">
        <v>378</v>
      </c>
      <c r="G364">
        <v>640</v>
      </c>
      <c r="H364">
        <v>224</v>
      </c>
      <c r="I364">
        <v>538</v>
      </c>
      <c r="K364" s="3" t="s">
        <v>314</v>
      </c>
    </row>
    <row r="365" spans="1:11" ht="12">
      <c r="A365" t="s">
        <v>5</v>
      </c>
      <c r="B365" t="s">
        <v>536</v>
      </c>
      <c r="C365">
        <v>3.434</v>
      </c>
      <c r="D365">
        <v>0.474</v>
      </c>
      <c r="E365">
        <v>1.27840815</v>
      </c>
      <c r="F365">
        <v>276</v>
      </c>
      <c r="G365">
        <v>105</v>
      </c>
      <c r="H365">
        <v>144</v>
      </c>
      <c r="I365">
        <v>1075</v>
      </c>
      <c r="K365" s="3" t="s">
        <v>6</v>
      </c>
    </row>
    <row r="366" spans="1:11" ht="12">
      <c r="A366" t="s">
        <v>96</v>
      </c>
      <c r="B366" t="s">
        <v>536</v>
      </c>
      <c r="C366">
        <v>3.348</v>
      </c>
      <c r="D366">
        <v>0.94</v>
      </c>
      <c r="E366">
        <v>2.47174805</v>
      </c>
      <c r="F366">
        <v>356</v>
      </c>
      <c r="G366">
        <v>593</v>
      </c>
      <c r="H366">
        <v>192</v>
      </c>
      <c r="I366">
        <v>885</v>
      </c>
      <c r="K366" s="3" t="s">
        <v>95</v>
      </c>
    </row>
    <row r="367" spans="1:11" ht="12">
      <c r="A367" t="s">
        <v>17</v>
      </c>
      <c r="B367" t="s">
        <v>239</v>
      </c>
      <c r="C367">
        <f>(2.114+5.589)/2</f>
        <v>3.8515</v>
      </c>
      <c r="D367">
        <f>(0.494+1.758)/2</f>
        <v>1.126</v>
      </c>
      <c r="E367">
        <v>3.40611408</v>
      </c>
      <c r="F367" s="2">
        <v>802</v>
      </c>
      <c r="G367" s="2">
        <v>1240</v>
      </c>
      <c r="H367" s="2"/>
      <c r="I367">
        <f>(104+455)/2</f>
        <v>279.5</v>
      </c>
      <c r="K367" s="3" t="s">
        <v>18</v>
      </c>
    </row>
    <row r="368" spans="1:11" ht="12">
      <c r="A368" t="s">
        <v>445</v>
      </c>
      <c r="B368" t="s">
        <v>239</v>
      </c>
      <c r="C368">
        <v>1.47</v>
      </c>
      <c r="D368">
        <v>0.75</v>
      </c>
      <c r="E368">
        <v>0.8659035</v>
      </c>
      <c r="F368" s="2"/>
      <c r="G368" s="2">
        <v>523</v>
      </c>
      <c r="H368" s="2">
        <v>166</v>
      </c>
      <c r="K368" s="2" t="s">
        <v>446</v>
      </c>
    </row>
    <row r="369" spans="1:11" ht="12">
      <c r="A369" t="s">
        <v>335</v>
      </c>
      <c r="B369" t="s">
        <v>239</v>
      </c>
      <c r="C369">
        <f>(3.2+5.2)/2</f>
        <v>4.2</v>
      </c>
      <c r="D369">
        <f>(0.817+0.912)/2</f>
        <v>0.8645</v>
      </c>
      <c r="E369">
        <v>2.85170886</v>
      </c>
      <c r="F369" s="2"/>
      <c r="G369" s="2">
        <v>665</v>
      </c>
      <c r="H369" s="2"/>
      <c r="K369" t="s">
        <v>336</v>
      </c>
    </row>
    <row r="370" spans="1:11" ht="12">
      <c r="A370" t="s">
        <v>238</v>
      </c>
      <c r="B370" t="s">
        <v>239</v>
      </c>
      <c r="C370">
        <v>15.24</v>
      </c>
      <c r="D370">
        <v>6.23</v>
      </c>
      <c r="E370">
        <v>74.5699601</v>
      </c>
      <c r="F370" s="2"/>
      <c r="G370" s="2">
        <v>5450</v>
      </c>
      <c r="H370" s="2">
        <v>710</v>
      </c>
      <c r="K370" t="s">
        <v>240</v>
      </c>
    </row>
    <row r="371" spans="1:11" ht="12">
      <c r="A371" t="s">
        <v>525</v>
      </c>
      <c r="B371" t="s">
        <v>239</v>
      </c>
      <c r="C371">
        <f>(6.8+8.4)/2</f>
        <v>7.6</v>
      </c>
      <c r="D371">
        <f>(1.8+2.5)/2</f>
        <v>2.15</v>
      </c>
      <c r="E371">
        <v>12.833436</v>
      </c>
      <c r="F371" s="2">
        <v>800</v>
      </c>
      <c r="G371" s="2">
        <v>1800</v>
      </c>
      <c r="H371" s="2"/>
      <c r="K371" t="s">
        <v>526</v>
      </c>
    </row>
    <row r="372" spans="1:11" ht="12">
      <c r="A372" t="s">
        <v>231</v>
      </c>
      <c r="B372" t="s">
        <v>230</v>
      </c>
      <c r="C372">
        <v>9.4</v>
      </c>
      <c r="D372">
        <v>1.6</v>
      </c>
      <c r="E372">
        <v>11.812416</v>
      </c>
      <c r="F372" s="2">
        <v>199</v>
      </c>
      <c r="G372" s="2">
        <v>234</v>
      </c>
      <c r="H372">
        <v>214</v>
      </c>
      <c r="I372">
        <v>857</v>
      </c>
      <c r="K372" t="s">
        <v>229</v>
      </c>
    </row>
    <row r="373" spans="1:11" ht="12">
      <c r="A373" t="s">
        <v>367</v>
      </c>
      <c r="B373" t="s">
        <v>230</v>
      </c>
      <c r="C373">
        <f>(1.7+2.2)/2</f>
        <v>1.9500000000000002</v>
      </c>
      <c r="D373">
        <f>(0.13+0.31)/2</f>
        <v>0.22</v>
      </c>
      <c r="E373">
        <v>0.3369366</v>
      </c>
      <c r="F373" s="2">
        <v>100</v>
      </c>
      <c r="G373" s="2">
        <v>100</v>
      </c>
      <c r="H373" s="2">
        <v>55.5</v>
      </c>
      <c r="K373" s="2" t="s">
        <v>368</v>
      </c>
    </row>
    <row r="374" spans="1:11" ht="12">
      <c r="A374" t="s">
        <v>99</v>
      </c>
      <c r="B374" t="s">
        <v>230</v>
      </c>
      <c r="C374">
        <v>2.869</v>
      </c>
      <c r="D374">
        <v>0.486</v>
      </c>
      <c r="E374">
        <v>1.09510992</v>
      </c>
      <c r="F374">
        <v>184</v>
      </c>
      <c r="G374">
        <v>247</v>
      </c>
      <c r="H374">
        <v>137</v>
      </c>
      <c r="I374">
        <v>729</v>
      </c>
      <c r="K374" s="3" t="s">
        <v>100</v>
      </c>
    </row>
    <row r="375" spans="1:11" ht="12">
      <c r="A375" t="s">
        <v>184</v>
      </c>
      <c r="B375" t="s">
        <v>230</v>
      </c>
      <c r="C375">
        <v>0.86</v>
      </c>
      <c r="D375">
        <v>0.23</v>
      </c>
      <c r="E375">
        <v>0.15535212</v>
      </c>
      <c r="F375">
        <v>95</v>
      </c>
      <c r="G375">
        <v>185</v>
      </c>
      <c r="H375">
        <v>60</v>
      </c>
      <c r="I375">
        <v>248</v>
      </c>
      <c r="K375" t="s">
        <v>185</v>
      </c>
    </row>
    <row r="376" spans="1:11" ht="12">
      <c r="A376" t="s">
        <v>383</v>
      </c>
      <c r="B376" t="s">
        <v>230</v>
      </c>
      <c r="C376">
        <v>1.722</v>
      </c>
      <c r="D376">
        <v>0.588</v>
      </c>
      <c r="E376">
        <v>0.79524577</v>
      </c>
      <c r="F376" s="2">
        <v>290</v>
      </c>
      <c r="G376" s="2">
        <v>215</v>
      </c>
      <c r="H376" s="2">
        <v>90</v>
      </c>
      <c r="I376">
        <v>373</v>
      </c>
      <c r="K376" s="2" t="s">
        <v>384</v>
      </c>
    </row>
    <row r="377" spans="1:11" ht="12">
      <c r="A377" t="s">
        <v>300</v>
      </c>
      <c r="B377" t="s">
        <v>230</v>
      </c>
      <c r="C377">
        <v>3.71</v>
      </c>
      <c r="D377">
        <v>0.939</v>
      </c>
      <c r="E377">
        <v>2.73609013</v>
      </c>
      <c r="F377">
        <v>362</v>
      </c>
      <c r="G377">
        <v>128</v>
      </c>
      <c r="H377">
        <v>205</v>
      </c>
      <c r="K377" s="3" t="s">
        <v>479</v>
      </c>
    </row>
    <row r="378" spans="1:11" ht="12">
      <c r="A378" t="s">
        <v>115</v>
      </c>
      <c r="B378" t="s">
        <v>230</v>
      </c>
      <c r="C378">
        <v>8.25</v>
      </c>
      <c r="D378">
        <v>1.69</v>
      </c>
      <c r="E378">
        <v>10.9504395</v>
      </c>
      <c r="F378">
        <v>618</v>
      </c>
      <c r="G378">
        <v>148</v>
      </c>
      <c r="H378">
        <v>223</v>
      </c>
      <c r="I378">
        <v>3120</v>
      </c>
      <c r="K378" s="3" t="s">
        <v>295</v>
      </c>
    </row>
    <row r="379" spans="1:11" ht="12">
      <c r="A379" t="s">
        <v>188</v>
      </c>
      <c r="B379" t="s">
        <v>230</v>
      </c>
      <c r="C379">
        <v>6.657</v>
      </c>
      <c r="D379">
        <v>0.958</v>
      </c>
      <c r="E379">
        <v>5.00881467</v>
      </c>
      <c r="F379">
        <v>357</v>
      </c>
      <c r="G379">
        <v>328</v>
      </c>
      <c r="H379">
        <v>161</v>
      </c>
      <c r="I379">
        <v>461</v>
      </c>
      <c r="K379" t="s">
        <v>189</v>
      </c>
    </row>
    <row r="380" spans="1:11" ht="12">
      <c r="A380" t="s">
        <v>569</v>
      </c>
      <c r="B380" t="s">
        <v>230</v>
      </c>
      <c r="C380">
        <v>1.75</v>
      </c>
      <c r="D380">
        <v>0.5</v>
      </c>
      <c r="E380">
        <v>0.687225</v>
      </c>
      <c r="F380">
        <v>174</v>
      </c>
      <c r="G380">
        <v>220</v>
      </c>
      <c r="H380">
        <v>88</v>
      </c>
      <c r="K380" s="2" t="s">
        <v>497</v>
      </c>
    </row>
    <row r="381" spans="1:11" ht="12">
      <c r="A381" t="s">
        <v>605</v>
      </c>
      <c r="B381" t="s">
        <v>230</v>
      </c>
      <c r="C381">
        <v>1.298</v>
      </c>
      <c r="D381">
        <v>0.371</v>
      </c>
      <c r="E381">
        <v>0.37821565</v>
      </c>
      <c r="F381" s="2">
        <v>145</v>
      </c>
      <c r="G381" s="2">
        <v>160</v>
      </c>
      <c r="H381" s="2">
        <v>73</v>
      </c>
      <c r="I381" s="2">
        <v>99</v>
      </c>
      <c r="K381" s="2" t="s">
        <v>606</v>
      </c>
    </row>
    <row r="382" spans="1:11" ht="12">
      <c r="A382" t="s">
        <v>141</v>
      </c>
      <c r="B382" t="s">
        <v>230</v>
      </c>
      <c r="C382">
        <v>13.36</v>
      </c>
      <c r="D382">
        <v>1.12</v>
      </c>
      <c r="E382">
        <v>11.7520973</v>
      </c>
      <c r="F382" s="2">
        <v>290</v>
      </c>
      <c r="G382" s="2">
        <v>240</v>
      </c>
      <c r="H382" s="2">
        <v>260</v>
      </c>
      <c r="I382">
        <v>1520</v>
      </c>
      <c r="K382" s="2" t="s">
        <v>142</v>
      </c>
    </row>
    <row r="383" spans="1:11" ht="12">
      <c r="A383" t="s">
        <v>371</v>
      </c>
      <c r="B383" t="s">
        <v>230</v>
      </c>
      <c r="C383">
        <f>(6.5+7.19)/2</f>
        <v>6.845000000000001</v>
      </c>
      <c r="D383">
        <f>(0.81+0.94)/2</f>
        <v>0.875</v>
      </c>
      <c r="E383">
        <v>4.70405513</v>
      </c>
      <c r="F383" s="2">
        <v>370</v>
      </c>
      <c r="G383" s="2">
        <v>290</v>
      </c>
      <c r="H383" s="2">
        <f>(230+290)/2</f>
        <v>260</v>
      </c>
      <c r="I383">
        <f>(620+860)/2</f>
        <v>740</v>
      </c>
      <c r="K383" s="2" t="s">
        <v>372</v>
      </c>
    </row>
    <row r="384" spans="1:11" ht="12">
      <c r="A384" t="s">
        <v>492</v>
      </c>
      <c r="B384" t="s">
        <v>230</v>
      </c>
      <c r="C384">
        <v>5.8</v>
      </c>
      <c r="D384">
        <v>0.41</v>
      </c>
      <c r="E384">
        <v>1.8676812</v>
      </c>
      <c r="F384">
        <v>150</v>
      </c>
      <c r="G384">
        <v>140</v>
      </c>
      <c r="H384">
        <v>144</v>
      </c>
      <c r="I384">
        <v>733</v>
      </c>
      <c r="K384" s="3" t="s">
        <v>493</v>
      </c>
    </row>
    <row r="385" spans="1:11" ht="12">
      <c r="A385" t="s">
        <v>191</v>
      </c>
      <c r="B385" t="s">
        <v>230</v>
      </c>
      <c r="C385">
        <f>(1.89+1.97)/2</f>
        <v>1.93</v>
      </c>
      <c r="D385">
        <f>(0.221+0.317)/2</f>
        <v>0.269</v>
      </c>
      <c r="E385">
        <v>0.40775612</v>
      </c>
      <c r="F385" s="2">
        <v>160</v>
      </c>
      <c r="G385" s="2">
        <v>166</v>
      </c>
      <c r="H385" s="2">
        <v>57</v>
      </c>
      <c r="K385" s="3" t="s">
        <v>192</v>
      </c>
    </row>
    <row r="386" spans="1:11" ht="12">
      <c r="A386" t="s">
        <v>498</v>
      </c>
      <c r="B386" t="s">
        <v>230</v>
      </c>
      <c r="C386">
        <v>3.4</v>
      </c>
      <c r="D386">
        <v>1</v>
      </c>
      <c r="E386">
        <v>2.67036</v>
      </c>
      <c r="F386">
        <v>252</v>
      </c>
      <c r="G386">
        <v>226</v>
      </c>
      <c r="H386">
        <v>120</v>
      </c>
      <c r="I386">
        <v>532</v>
      </c>
      <c r="K386" s="2" t="s">
        <v>499</v>
      </c>
    </row>
    <row r="387" spans="1:11" ht="12">
      <c r="A387" t="s">
        <v>547</v>
      </c>
      <c r="B387" t="s">
        <v>230</v>
      </c>
      <c r="C387">
        <v>2.42</v>
      </c>
      <c r="D387">
        <v>0.42</v>
      </c>
      <c r="E387">
        <v>0.79828056</v>
      </c>
      <c r="F387">
        <v>180</v>
      </c>
      <c r="G387">
        <v>210</v>
      </c>
      <c r="H387">
        <v>100</v>
      </c>
      <c r="I387">
        <v>860</v>
      </c>
      <c r="K387" s="3" t="s">
        <v>548</v>
      </c>
    </row>
    <row r="388" spans="1:11" ht="12">
      <c r="A388" t="s">
        <v>537</v>
      </c>
      <c r="B388" t="s">
        <v>230</v>
      </c>
      <c r="C388">
        <f>(1.55+1.8)/2</f>
        <v>1.675</v>
      </c>
      <c r="D388">
        <f>(0.65+0.68)/2</f>
        <v>0.665</v>
      </c>
      <c r="E388">
        <v>0.87483743</v>
      </c>
      <c r="F388" s="2">
        <v>186</v>
      </c>
      <c r="G388" s="2">
        <v>174</v>
      </c>
      <c r="H388" s="2">
        <v>100</v>
      </c>
      <c r="K388" t="s">
        <v>473</v>
      </c>
    </row>
    <row r="389" spans="1:11" ht="12">
      <c r="A389" t="s">
        <v>261</v>
      </c>
      <c r="B389" t="s">
        <v>230</v>
      </c>
      <c r="C389">
        <v>3.5</v>
      </c>
      <c r="D389">
        <f>(1.5+2)/2</f>
        <v>1.75</v>
      </c>
      <c r="E389">
        <v>4.810575</v>
      </c>
      <c r="F389">
        <v>500</v>
      </c>
      <c r="G389">
        <v>600</v>
      </c>
      <c r="H389">
        <v>200</v>
      </c>
      <c r="I389">
        <v>400</v>
      </c>
      <c r="K389" s="2" t="s">
        <v>262</v>
      </c>
    </row>
    <row r="390" spans="1:11" ht="12">
      <c r="A390" t="s">
        <v>631</v>
      </c>
      <c r="B390" t="s">
        <v>230</v>
      </c>
      <c r="C390">
        <v>1.313</v>
      </c>
      <c r="D390">
        <v>0.26</v>
      </c>
      <c r="E390">
        <v>0.26811985</v>
      </c>
      <c r="F390">
        <v>71</v>
      </c>
      <c r="G390">
        <v>109</v>
      </c>
      <c r="H390">
        <v>37</v>
      </c>
      <c r="K390" s="3" t="s">
        <v>632</v>
      </c>
    </row>
    <row r="391" spans="1:11" ht="12">
      <c r="A391" t="s">
        <v>486</v>
      </c>
      <c r="B391" t="s">
        <v>230</v>
      </c>
      <c r="C391">
        <v>2.96</v>
      </c>
      <c r="D391">
        <v>0.89</v>
      </c>
      <c r="E391">
        <v>2.06905776</v>
      </c>
      <c r="F391">
        <v>247</v>
      </c>
      <c r="G391">
        <v>247</v>
      </c>
      <c r="H391">
        <v>103</v>
      </c>
      <c r="I391">
        <v>766</v>
      </c>
      <c r="K391" s="3" t="s">
        <v>487</v>
      </c>
    </row>
    <row r="392" spans="1:11" ht="12">
      <c r="A392" t="s">
        <v>607</v>
      </c>
      <c r="B392" t="s">
        <v>230</v>
      </c>
      <c r="C392">
        <f>(2.55+6.14)/2</f>
        <v>4.345</v>
      </c>
      <c r="D392">
        <f>(0.85+1.96)/2</f>
        <v>1.405</v>
      </c>
      <c r="E392">
        <v>4.79465102</v>
      </c>
      <c r="F392" s="2">
        <v>380</v>
      </c>
      <c r="G392" s="2">
        <v>350</v>
      </c>
      <c r="H392" s="2">
        <f>(140+220)/2</f>
        <v>180</v>
      </c>
      <c r="K392" s="2" t="s">
        <v>608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Department of Zoology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Users</dc:creator>
  <cp:keywords/>
  <dc:description/>
  <cp:lastModifiedBy>Robert Poulin</cp:lastModifiedBy>
  <dcterms:created xsi:type="dcterms:W3CDTF">2007-08-14T21:28:04Z</dcterms:created>
  <dcterms:modified xsi:type="dcterms:W3CDTF">2008-01-30T23:25:44Z</dcterms:modified>
  <cp:category/>
  <cp:version/>
  <cp:contentType/>
  <cp:contentStatus/>
</cp:coreProperties>
</file>